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eralta\Desktop\"/>
    </mc:Choice>
  </mc:AlternateContent>
  <xr:revisionPtr revIDLastSave="0" documentId="13_ncr:1_{D8C1D47E-41FE-4677-8122-18CBDA808557}" xr6:coauthVersionLast="47" xr6:coauthVersionMax="47" xr10:uidLastSave="{00000000-0000-0000-0000-000000000000}"/>
  <bookViews>
    <workbookView xWindow="-110" yWindow="-110" windowWidth="19420" windowHeight="10420" tabRatio="708" xr2:uid="{00000000-000D-0000-FFFF-FFFF00000000}"/>
  </bookViews>
  <sheets>
    <sheet name="FONCOMUN" sheetId="1" r:id="rId1"/>
    <sheet name="PETROLERO" sheetId="5" r:id="rId2"/>
    <sheet name="GASIFERO" sheetId="4" r:id="rId3"/>
    <sheet name="HIDROENERGETICO" sheetId="6" r:id="rId4"/>
    <sheet name="ADUANAS" sheetId="7" r:id="rId5"/>
    <sheet name="FOCAM" sheetId="8" r:id="rId6"/>
    <sheet name="MINERO" sheetId="3" r:id="rId7"/>
    <sheet name="REGALÍAS MINERAS" sheetId="10" r:id="rId8"/>
  </sheets>
  <definedNames>
    <definedName name="_xlnm.Print_Area" localSheetId="4">ADUANAS!$C$2:$I$62</definedName>
    <definedName name="_xlnm.Print_Area" localSheetId="5">FOCAM!$C$2:$I$62</definedName>
    <definedName name="_xlnm.Print_Area" localSheetId="0">FONCOMUN!$C$2:$I$62</definedName>
    <definedName name="_xlnm.Print_Area" localSheetId="2">GASIFERO!$C$1:$I$61</definedName>
    <definedName name="_xlnm.Print_Area" localSheetId="3">HIDROENERGETICO!$C$2:$I$62</definedName>
    <definedName name="_xlnm.Print_Area" localSheetId="6">MINERO!$C$3:$I$29</definedName>
    <definedName name="_xlnm.Print_Area" localSheetId="1">PETROLERO!$C$1:$I$61</definedName>
    <definedName name="_xlnm.Print_Area" localSheetId="7">'REGALÍAS MINERAS'!$C$3:$I$50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F18" i="10" s="1"/>
  <c r="I16" i="10"/>
  <c r="F12" i="10"/>
  <c r="F11" i="10"/>
  <c r="D16" i="10" s="1"/>
  <c r="E17" i="10" s="1"/>
  <c r="L14" i="8"/>
  <c r="L13" i="8"/>
  <c r="L12" i="8"/>
  <c r="L11" i="8"/>
  <c r="M14" i="8"/>
  <c r="M13" i="8"/>
  <c r="M12" i="8"/>
  <c r="M11" i="8"/>
  <c r="L14" i="7"/>
  <c r="L13" i="7"/>
  <c r="L12" i="7"/>
  <c r="L11" i="7"/>
  <c r="M14" i="7"/>
  <c r="M13" i="7"/>
  <c r="M12" i="7"/>
  <c r="M11" i="7"/>
  <c r="L14" i="6"/>
  <c r="L13" i="6"/>
  <c r="L12" i="6"/>
  <c r="L11" i="6"/>
  <c r="M14" i="6"/>
  <c r="M13" i="6"/>
  <c r="M12" i="6"/>
  <c r="M11" i="6"/>
  <c r="L13" i="4"/>
  <c r="L12" i="4"/>
  <c r="L11" i="4"/>
  <c r="L10" i="4"/>
  <c r="M13" i="4"/>
  <c r="M12" i="4"/>
  <c r="M11" i="4"/>
  <c r="M10" i="4"/>
  <c r="L13" i="5"/>
  <c r="L12" i="5"/>
  <c r="L11" i="5"/>
  <c r="L10" i="5"/>
  <c r="M13" i="5"/>
  <c r="M12" i="5"/>
  <c r="M11" i="5"/>
  <c r="M10" i="5"/>
  <c r="L14" i="1"/>
  <c r="L13" i="1"/>
  <c r="L12" i="1"/>
  <c r="M14" i="1"/>
  <c r="M13" i="1"/>
  <c r="M12" i="1"/>
  <c r="L11" i="1"/>
  <c r="M11" i="1"/>
  <c r="F13" i="10" l="1"/>
  <c r="G17" i="10" s="1"/>
  <c r="G18" i="10" s="1"/>
  <c r="I17" i="10"/>
  <c r="F12" i="3"/>
  <c r="H17" i="10" l="1"/>
  <c r="H18" i="10" s="1"/>
  <c r="F11" i="3"/>
  <c r="C117" i="8"/>
  <c r="I117" i="8" s="1"/>
  <c r="C116" i="8"/>
  <c r="C115" i="8"/>
  <c r="I115" i="8" s="1"/>
  <c r="C114" i="8"/>
  <c r="C113" i="8"/>
  <c r="E113" i="8" s="1"/>
  <c r="C112" i="8"/>
  <c r="C111" i="8"/>
  <c r="I111" i="8" s="1"/>
  <c r="C110" i="8"/>
  <c r="E110" i="8" s="1"/>
  <c r="C109" i="8"/>
  <c r="D110" i="8" s="1"/>
  <c r="C108" i="8"/>
  <c r="D109" i="8" s="1"/>
  <c r="C107" i="8"/>
  <c r="C106" i="8"/>
  <c r="D107" i="8" s="1"/>
  <c r="C105" i="8"/>
  <c r="C104" i="8"/>
  <c r="D105" i="8" s="1"/>
  <c r="C103" i="8"/>
  <c r="C102" i="8"/>
  <c r="C101" i="8"/>
  <c r="C100" i="8"/>
  <c r="D101" i="8" s="1"/>
  <c r="C99" i="8"/>
  <c r="C98" i="8"/>
  <c r="C97" i="8"/>
  <c r="C96" i="8"/>
  <c r="D97" i="8" s="1"/>
  <c r="C95" i="8"/>
  <c r="C94" i="8"/>
  <c r="D95" i="8" s="1"/>
  <c r="C93" i="8"/>
  <c r="C92" i="8"/>
  <c r="D93" i="8" s="1"/>
  <c r="C91" i="8"/>
  <c r="C90" i="8"/>
  <c r="D91" i="8" s="1"/>
  <c r="C89" i="8"/>
  <c r="C88" i="8"/>
  <c r="D89" i="8" s="1"/>
  <c r="C87" i="8"/>
  <c r="C86" i="8"/>
  <c r="C85" i="8"/>
  <c r="C84" i="8"/>
  <c r="D85" i="8" s="1"/>
  <c r="C83" i="8"/>
  <c r="D84" i="8" s="1"/>
  <c r="C82" i="8"/>
  <c r="D83" i="8" s="1"/>
  <c r="C81" i="8"/>
  <c r="D82" i="8" s="1"/>
  <c r="C80" i="8"/>
  <c r="D81" i="8" s="1"/>
  <c r="C79" i="8"/>
  <c r="D80" i="8" s="1"/>
  <c r="C78" i="8"/>
  <c r="D79" i="8" s="1"/>
  <c r="C77" i="8"/>
  <c r="D78" i="8" s="1"/>
  <c r="C76" i="8"/>
  <c r="D77" i="8" s="1"/>
  <c r="C75" i="8"/>
  <c r="D76" i="8" s="1"/>
  <c r="C74" i="8"/>
  <c r="I74" i="8" s="1"/>
  <c r="C73" i="8"/>
  <c r="E73" i="8" s="1"/>
  <c r="C72" i="8"/>
  <c r="E72" i="8" s="1"/>
  <c r="C71" i="8"/>
  <c r="E71" i="8" s="1"/>
  <c r="C70" i="8"/>
  <c r="I70" i="8" s="1"/>
  <c r="C69" i="8"/>
  <c r="E69" i="8" s="1"/>
  <c r="C68" i="8"/>
  <c r="E68" i="8" s="1"/>
  <c r="C67" i="8"/>
  <c r="E67" i="8" s="1"/>
  <c r="C66" i="8"/>
  <c r="I66" i="8" s="1"/>
  <c r="C65" i="8"/>
  <c r="E65" i="8" s="1"/>
  <c r="C64" i="8"/>
  <c r="E64" i="8" s="1"/>
  <c r="C63" i="8"/>
  <c r="D64" i="8" s="1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I17" i="8"/>
  <c r="K14" i="8"/>
  <c r="K13" i="8"/>
  <c r="K12" i="8"/>
  <c r="D17" i="8"/>
  <c r="K11" i="8"/>
  <c r="C117" i="7"/>
  <c r="E117" i="7" s="1"/>
  <c r="C116" i="7"/>
  <c r="I116" i="7" s="1"/>
  <c r="C115" i="7"/>
  <c r="I115" i="7" s="1"/>
  <c r="C114" i="7"/>
  <c r="E114" i="7" s="1"/>
  <c r="C113" i="7"/>
  <c r="I113" i="7" s="1"/>
  <c r="C112" i="7"/>
  <c r="E112" i="7" s="1"/>
  <c r="C111" i="7"/>
  <c r="C110" i="7"/>
  <c r="E110" i="7" s="1"/>
  <c r="C109" i="7"/>
  <c r="C108" i="7"/>
  <c r="I108" i="7" s="1"/>
  <c r="C107" i="7"/>
  <c r="C106" i="7"/>
  <c r="E106" i="7" s="1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D92" i="7" s="1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I75" i="7" s="1"/>
  <c r="C74" i="7"/>
  <c r="C73" i="7"/>
  <c r="I73" i="7" s="1"/>
  <c r="C72" i="7"/>
  <c r="C71" i="7"/>
  <c r="C70" i="7"/>
  <c r="E70" i="7" s="1"/>
  <c r="C69" i="7"/>
  <c r="C68" i="7"/>
  <c r="C67" i="7"/>
  <c r="C66" i="7"/>
  <c r="D67" i="7" s="1"/>
  <c r="C65" i="7"/>
  <c r="D66" i="7" s="1"/>
  <c r="C64" i="7"/>
  <c r="D65" i="7" s="1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I17" i="7"/>
  <c r="K14" i="7"/>
  <c r="K13" i="7"/>
  <c r="K12" i="7"/>
  <c r="D17" i="7"/>
  <c r="D18" i="7" s="1"/>
  <c r="K11" i="7"/>
  <c r="C117" i="6"/>
  <c r="E117" i="6" s="1"/>
  <c r="C116" i="6"/>
  <c r="E116" i="6" s="1"/>
  <c r="C115" i="6"/>
  <c r="C114" i="6"/>
  <c r="I114" i="6" s="1"/>
  <c r="C113" i="6"/>
  <c r="E113" i="6" s="1"/>
  <c r="C112" i="6"/>
  <c r="I112" i="6" s="1"/>
  <c r="C111" i="6"/>
  <c r="C110" i="6"/>
  <c r="I110" i="6" s="1"/>
  <c r="C109" i="6"/>
  <c r="I109" i="6" s="1"/>
  <c r="C108" i="6"/>
  <c r="C107" i="6"/>
  <c r="C106" i="6"/>
  <c r="I106" i="6" s="1"/>
  <c r="C105" i="6"/>
  <c r="D106" i="6" s="1"/>
  <c r="C104" i="6"/>
  <c r="D105" i="6" s="1"/>
  <c r="C103" i="6"/>
  <c r="D104" i="6" s="1"/>
  <c r="C102" i="6"/>
  <c r="D103" i="6" s="1"/>
  <c r="C101" i="6"/>
  <c r="D102" i="6" s="1"/>
  <c r="C100" i="6"/>
  <c r="E100" i="6" s="1"/>
  <c r="C99" i="6"/>
  <c r="D100" i="6" s="1"/>
  <c r="C98" i="6"/>
  <c r="E98" i="6" s="1"/>
  <c r="C97" i="6"/>
  <c r="D98" i="6" s="1"/>
  <c r="C96" i="6"/>
  <c r="D97" i="6" s="1"/>
  <c r="C95" i="6"/>
  <c r="C94" i="6"/>
  <c r="D95" i="6" s="1"/>
  <c r="C93" i="6"/>
  <c r="D94" i="6" s="1"/>
  <c r="C92" i="6"/>
  <c r="C91" i="6"/>
  <c r="D92" i="6" s="1"/>
  <c r="C90" i="6"/>
  <c r="D91" i="6" s="1"/>
  <c r="C89" i="6"/>
  <c r="D90" i="6" s="1"/>
  <c r="C88" i="6"/>
  <c r="D89" i="6" s="1"/>
  <c r="C87" i="6"/>
  <c r="C86" i="6"/>
  <c r="D87" i="6" s="1"/>
  <c r="C85" i="6"/>
  <c r="D86" i="6" s="1"/>
  <c r="C84" i="6"/>
  <c r="E84" i="6" s="1"/>
  <c r="C83" i="6"/>
  <c r="D84" i="6" s="1"/>
  <c r="C82" i="6"/>
  <c r="D83" i="6" s="1"/>
  <c r="C81" i="6"/>
  <c r="D82" i="6" s="1"/>
  <c r="C80" i="6"/>
  <c r="C79" i="6"/>
  <c r="C78" i="6"/>
  <c r="C77" i="6"/>
  <c r="D78" i="6" s="1"/>
  <c r="C76" i="6"/>
  <c r="D77" i="6" s="1"/>
  <c r="C75" i="6"/>
  <c r="D76" i="6" s="1"/>
  <c r="C74" i="6"/>
  <c r="C73" i="6"/>
  <c r="D74" i="6" s="1"/>
  <c r="C72" i="6"/>
  <c r="D73" i="6" s="1"/>
  <c r="C71" i="6"/>
  <c r="D72" i="6" s="1"/>
  <c r="C70" i="6"/>
  <c r="C69" i="6"/>
  <c r="D70" i="6" s="1"/>
  <c r="C68" i="6"/>
  <c r="C67" i="6"/>
  <c r="D68" i="6" s="1"/>
  <c r="C66" i="6"/>
  <c r="C65" i="6"/>
  <c r="D66" i="6" s="1"/>
  <c r="C64" i="6"/>
  <c r="D65" i="6" s="1"/>
  <c r="C63" i="6"/>
  <c r="D64" i="6" s="1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I17" i="6"/>
  <c r="K14" i="6"/>
  <c r="K13" i="6"/>
  <c r="K12" i="6"/>
  <c r="D17" i="6"/>
  <c r="D18" i="6" s="1"/>
  <c r="K11" i="6"/>
  <c r="F13" i="6" s="1"/>
  <c r="F14" i="6" s="1"/>
  <c r="C116" i="5"/>
  <c r="I116" i="5" s="1"/>
  <c r="C115" i="5"/>
  <c r="I115" i="5" s="1"/>
  <c r="C114" i="5"/>
  <c r="E114" i="5" s="1"/>
  <c r="C113" i="5"/>
  <c r="C112" i="5"/>
  <c r="E112" i="5" s="1"/>
  <c r="C111" i="5"/>
  <c r="C110" i="5"/>
  <c r="C109" i="5"/>
  <c r="C108" i="5"/>
  <c r="D109" i="5" s="1"/>
  <c r="C107" i="5"/>
  <c r="C106" i="5"/>
  <c r="C105" i="5"/>
  <c r="I105" i="5" s="1"/>
  <c r="C104" i="5"/>
  <c r="E104" i="5" s="1"/>
  <c r="C103" i="5"/>
  <c r="C102" i="5"/>
  <c r="E102" i="5" s="1"/>
  <c r="C101" i="5"/>
  <c r="E101" i="5" s="1"/>
  <c r="C100" i="5"/>
  <c r="E100" i="5" s="1"/>
  <c r="C99" i="5"/>
  <c r="C98" i="5"/>
  <c r="E98" i="5" s="1"/>
  <c r="C97" i="5"/>
  <c r="E97" i="5" s="1"/>
  <c r="C96" i="5"/>
  <c r="C95" i="5"/>
  <c r="E95" i="5" s="1"/>
  <c r="C94" i="5"/>
  <c r="E94" i="5" s="1"/>
  <c r="C93" i="5"/>
  <c r="E93" i="5" s="1"/>
  <c r="C92" i="5"/>
  <c r="C91" i="5"/>
  <c r="C90" i="5"/>
  <c r="E90" i="5" s="1"/>
  <c r="C89" i="5"/>
  <c r="C88" i="5"/>
  <c r="C87" i="5"/>
  <c r="E87" i="5" s="1"/>
  <c r="C86" i="5"/>
  <c r="E86" i="5" s="1"/>
  <c r="C85" i="5"/>
  <c r="E85" i="5" s="1"/>
  <c r="C84" i="5"/>
  <c r="E84" i="5" s="1"/>
  <c r="C83" i="5"/>
  <c r="C82" i="5"/>
  <c r="E82" i="5" s="1"/>
  <c r="C81" i="5"/>
  <c r="C80" i="5"/>
  <c r="C79" i="5"/>
  <c r="E79" i="5" s="1"/>
  <c r="C78" i="5"/>
  <c r="E78" i="5" s="1"/>
  <c r="C77" i="5"/>
  <c r="E77" i="5" s="1"/>
  <c r="C76" i="5"/>
  <c r="C75" i="5"/>
  <c r="C74" i="5"/>
  <c r="E74" i="5" s="1"/>
  <c r="C73" i="5"/>
  <c r="E73" i="5" s="1"/>
  <c r="C72" i="5"/>
  <c r="C71" i="5"/>
  <c r="E71" i="5" s="1"/>
  <c r="C70" i="5"/>
  <c r="E70" i="5" s="1"/>
  <c r="C69" i="5"/>
  <c r="E69" i="5" s="1"/>
  <c r="C68" i="5"/>
  <c r="E68" i="5" s="1"/>
  <c r="C67" i="5"/>
  <c r="C66" i="5"/>
  <c r="E66" i="5" s="1"/>
  <c r="C65" i="5"/>
  <c r="E65" i="5" s="1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I16" i="5"/>
  <c r="K13" i="5"/>
  <c r="K12" i="5"/>
  <c r="K11" i="5"/>
  <c r="D16" i="5"/>
  <c r="D17" i="5" s="1"/>
  <c r="K10" i="5"/>
  <c r="F12" i="5" s="1"/>
  <c r="F13" i="5" s="1"/>
  <c r="C116" i="4"/>
  <c r="E116" i="4" s="1"/>
  <c r="C115" i="4"/>
  <c r="C114" i="4"/>
  <c r="C113" i="4"/>
  <c r="D114" i="4" s="1"/>
  <c r="C112" i="4"/>
  <c r="C111" i="4"/>
  <c r="D112" i="4" s="1"/>
  <c r="C110" i="4"/>
  <c r="C109" i="4"/>
  <c r="D110" i="4" s="1"/>
  <c r="C108" i="4"/>
  <c r="C107" i="4"/>
  <c r="D108" i="4" s="1"/>
  <c r="C106" i="4"/>
  <c r="C105" i="4"/>
  <c r="D106" i="4" s="1"/>
  <c r="C104" i="4"/>
  <c r="C103" i="4"/>
  <c r="D104" i="4" s="1"/>
  <c r="C102" i="4"/>
  <c r="C101" i="4"/>
  <c r="D102" i="4" s="1"/>
  <c r="C100" i="4"/>
  <c r="C99" i="4"/>
  <c r="D100" i="4" s="1"/>
  <c r="C98" i="4"/>
  <c r="C97" i="4"/>
  <c r="D98" i="4" s="1"/>
  <c r="C96" i="4"/>
  <c r="C95" i="4"/>
  <c r="D96" i="4" s="1"/>
  <c r="C94" i="4"/>
  <c r="C93" i="4"/>
  <c r="D94" i="4" s="1"/>
  <c r="C92" i="4"/>
  <c r="D93" i="4" s="1"/>
  <c r="C91" i="4"/>
  <c r="D92" i="4" s="1"/>
  <c r="C90" i="4"/>
  <c r="C89" i="4"/>
  <c r="D90" i="4" s="1"/>
  <c r="C88" i="4"/>
  <c r="C87" i="4"/>
  <c r="D88" i="4" s="1"/>
  <c r="C86" i="4"/>
  <c r="C85" i="4"/>
  <c r="D86" i="4" s="1"/>
  <c r="C84" i="4"/>
  <c r="C83" i="4"/>
  <c r="D84" i="4" s="1"/>
  <c r="C82" i="4"/>
  <c r="C81" i="4"/>
  <c r="D82" i="4" s="1"/>
  <c r="C80" i="4"/>
  <c r="C79" i="4"/>
  <c r="D80" i="4" s="1"/>
  <c r="C78" i="4"/>
  <c r="C77" i="4"/>
  <c r="D78" i="4" s="1"/>
  <c r="C76" i="4"/>
  <c r="C75" i="4"/>
  <c r="D76" i="4" s="1"/>
  <c r="C74" i="4"/>
  <c r="D75" i="4" s="1"/>
  <c r="C73" i="4"/>
  <c r="E73" i="4" s="1"/>
  <c r="C72" i="4"/>
  <c r="E72" i="4" s="1"/>
  <c r="C71" i="4"/>
  <c r="E71" i="4" s="1"/>
  <c r="C70" i="4"/>
  <c r="E70" i="4" s="1"/>
  <c r="C69" i="4"/>
  <c r="C68" i="4"/>
  <c r="C67" i="4"/>
  <c r="C66" i="4"/>
  <c r="E66" i="4" s="1"/>
  <c r="C65" i="4"/>
  <c r="C64" i="4"/>
  <c r="E64" i="4" s="1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I16" i="4"/>
  <c r="K13" i="4"/>
  <c r="K12" i="4"/>
  <c r="K11" i="4"/>
  <c r="D16" i="4"/>
  <c r="D17" i="4" s="1"/>
  <c r="K10" i="4"/>
  <c r="F12" i="4" l="1"/>
  <c r="F13" i="4" s="1"/>
  <c r="F13" i="7"/>
  <c r="F14" i="7" s="1"/>
  <c r="F13" i="8"/>
  <c r="F14" i="8" s="1"/>
  <c r="E96" i="6"/>
  <c r="D18" i="8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E30" i="8" s="1"/>
  <c r="D19" i="7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K70" i="7"/>
  <c r="F74" i="7"/>
  <c r="F73" i="7"/>
  <c r="I90" i="6"/>
  <c r="H107" i="5"/>
  <c r="E69" i="7"/>
  <c r="H91" i="6"/>
  <c r="K109" i="6"/>
  <c r="K84" i="5"/>
  <c r="I69" i="7"/>
  <c r="E75" i="7"/>
  <c r="E111" i="8"/>
  <c r="H73" i="4"/>
  <c r="E108" i="5"/>
  <c r="K71" i="7"/>
  <c r="E108" i="7"/>
  <c r="E74" i="4"/>
  <c r="F104" i="5"/>
  <c r="H69" i="6"/>
  <c r="F69" i="7"/>
  <c r="G99" i="8"/>
  <c r="K111" i="8"/>
  <c r="K115" i="8"/>
  <c r="I112" i="7"/>
  <c r="K72" i="7"/>
  <c r="K68" i="7"/>
  <c r="I76" i="6"/>
  <c r="I96" i="6"/>
  <c r="H108" i="6"/>
  <c r="K68" i="4"/>
  <c r="K66" i="4"/>
  <c r="H65" i="4"/>
  <c r="H69" i="4"/>
  <c r="H71" i="4"/>
  <c r="H67" i="4"/>
  <c r="E67" i="4"/>
  <c r="K70" i="4"/>
  <c r="E65" i="4"/>
  <c r="E68" i="4"/>
  <c r="H73" i="5"/>
  <c r="K82" i="5"/>
  <c r="I103" i="5"/>
  <c r="F106" i="5"/>
  <c r="K90" i="5"/>
  <c r="E89" i="5"/>
  <c r="H81" i="5"/>
  <c r="K92" i="5"/>
  <c r="K74" i="5"/>
  <c r="K76" i="5"/>
  <c r="E81" i="5"/>
  <c r="H97" i="5"/>
  <c r="K108" i="5"/>
  <c r="K66" i="5"/>
  <c r="K68" i="5"/>
  <c r="H89" i="5"/>
  <c r="K98" i="5"/>
  <c r="K100" i="5"/>
  <c r="F112" i="5"/>
  <c r="H67" i="5"/>
  <c r="E72" i="5"/>
  <c r="H75" i="5"/>
  <c r="E80" i="5"/>
  <c r="H83" i="5"/>
  <c r="E88" i="5"/>
  <c r="H91" i="5"/>
  <c r="E96" i="5"/>
  <c r="H99" i="5"/>
  <c r="K106" i="5"/>
  <c r="K116" i="5"/>
  <c r="E116" i="5"/>
  <c r="K72" i="5"/>
  <c r="K80" i="5"/>
  <c r="K88" i="5"/>
  <c r="K96" i="5"/>
  <c r="H111" i="5"/>
  <c r="H115" i="5"/>
  <c r="H69" i="5"/>
  <c r="H71" i="5"/>
  <c r="H77" i="5"/>
  <c r="H79" i="5"/>
  <c r="H85" i="5"/>
  <c r="H87" i="5"/>
  <c r="H93" i="5"/>
  <c r="H95" i="5"/>
  <c r="H101" i="5"/>
  <c r="E106" i="5"/>
  <c r="K114" i="5"/>
  <c r="D18" i="4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E110" i="5"/>
  <c r="I113" i="5"/>
  <c r="H77" i="6"/>
  <c r="I88" i="6"/>
  <c r="I107" i="6"/>
  <c r="E112" i="6"/>
  <c r="I116" i="6"/>
  <c r="E67" i="7"/>
  <c r="I72" i="7"/>
  <c r="G87" i="8"/>
  <c r="G103" i="8"/>
  <c r="E117" i="8"/>
  <c r="E99" i="5"/>
  <c r="I104" i="5"/>
  <c r="H101" i="6"/>
  <c r="K70" i="5"/>
  <c r="G77" i="5"/>
  <c r="K78" i="5"/>
  <c r="K86" i="5"/>
  <c r="G93" i="5"/>
  <c r="K94" i="5"/>
  <c r="K102" i="5"/>
  <c r="H105" i="5"/>
  <c r="I107" i="5"/>
  <c r="H73" i="6"/>
  <c r="I67" i="7"/>
  <c r="D115" i="8"/>
  <c r="E69" i="4"/>
  <c r="E75" i="5"/>
  <c r="E91" i="5"/>
  <c r="H113" i="5"/>
  <c r="D18" i="5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E76" i="5"/>
  <c r="E92" i="5"/>
  <c r="G69" i="6"/>
  <c r="E94" i="6"/>
  <c r="I108" i="6"/>
  <c r="H117" i="6"/>
  <c r="F68" i="7"/>
  <c r="F70" i="7"/>
  <c r="E116" i="7"/>
  <c r="I110" i="8"/>
  <c r="E114" i="8"/>
  <c r="D77" i="5"/>
  <c r="D99" i="8"/>
  <c r="E67" i="5"/>
  <c r="E83" i="5"/>
  <c r="H65" i="6"/>
  <c r="I82" i="6"/>
  <c r="K74" i="7"/>
  <c r="K72" i="4"/>
  <c r="F114" i="5"/>
  <c r="E90" i="6"/>
  <c r="I94" i="6"/>
  <c r="I104" i="6"/>
  <c r="I113" i="6"/>
  <c r="I117" i="6"/>
  <c r="I68" i="7"/>
  <c r="E73" i="7"/>
  <c r="E66" i="8"/>
  <c r="E70" i="8"/>
  <c r="E74" i="8"/>
  <c r="I114" i="8"/>
  <c r="F108" i="5"/>
  <c r="F72" i="7"/>
  <c r="D69" i="6"/>
  <c r="D67" i="8"/>
  <c r="E76" i="6"/>
  <c r="G81" i="6"/>
  <c r="I86" i="6"/>
  <c r="H107" i="6"/>
  <c r="I71" i="7"/>
  <c r="I117" i="7"/>
  <c r="E75" i="8"/>
  <c r="D76" i="7"/>
  <c r="G65" i="4"/>
  <c r="D65" i="4"/>
  <c r="I64" i="4"/>
  <c r="F65" i="4"/>
  <c r="G67" i="4"/>
  <c r="D67" i="4"/>
  <c r="I66" i="4"/>
  <c r="F67" i="4"/>
  <c r="G69" i="4"/>
  <c r="D69" i="4"/>
  <c r="I68" i="4"/>
  <c r="F69" i="4"/>
  <c r="G71" i="4"/>
  <c r="D71" i="4"/>
  <c r="I70" i="4"/>
  <c r="F71" i="4"/>
  <c r="G73" i="4"/>
  <c r="D73" i="4"/>
  <c r="I72" i="4"/>
  <c r="F73" i="4"/>
  <c r="K74" i="4"/>
  <c r="K79" i="4"/>
  <c r="D79" i="4"/>
  <c r="K83" i="4"/>
  <c r="D83" i="4"/>
  <c r="K87" i="4"/>
  <c r="D87" i="4"/>
  <c r="K91" i="4"/>
  <c r="D91" i="4"/>
  <c r="K95" i="4"/>
  <c r="D95" i="4"/>
  <c r="K99" i="4"/>
  <c r="D99" i="4"/>
  <c r="K103" i="4"/>
  <c r="D103" i="4"/>
  <c r="K107" i="4"/>
  <c r="D107" i="4"/>
  <c r="K111" i="4"/>
  <c r="D111" i="4"/>
  <c r="K115" i="4"/>
  <c r="D115" i="4"/>
  <c r="D65" i="5"/>
  <c r="G67" i="5"/>
  <c r="D67" i="5"/>
  <c r="I66" i="5"/>
  <c r="F67" i="5"/>
  <c r="G69" i="5"/>
  <c r="D69" i="5"/>
  <c r="I68" i="5"/>
  <c r="F69" i="5"/>
  <c r="G71" i="5"/>
  <c r="D71" i="5"/>
  <c r="I70" i="5"/>
  <c r="F71" i="5"/>
  <c r="G73" i="5"/>
  <c r="D73" i="5"/>
  <c r="I72" i="5"/>
  <c r="F73" i="5"/>
  <c r="G75" i="5"/>
  <c r="D75" i="5"/>
  <c r="I74" i="5"/>
  <c r="F75" i="5"/>
  <c r="I76" i="5"/>
  <c r="F77" i="5"/>
  <c r="G79" i="5"/>
  <c r="D79" i="5"/>
  <c r="I78" i="5"/>
  <c r="F79" i="5"/>
  <c r="G81" i="5"/>
  <c r="D81" i="5"/>
  <c r="I80" i="5"/>
  <c r="F81" i="5"/>
  <c r="G83" i="5"/>
  <c r="D83" i="5"/>
  <c r="I82" i="5"/>
  <c r="F83" i="5"/>
  <c r="G85" i="5"/>
  <c r="D85" i="5"/>
  <c r="I84" i="5"/>
  <c r="F85" i="5"/>
  <c r="G87" i="5"/>
  <c r="D87" i="5"/>
  <c r="I86" i="5"/>
  <c r="F87" i="5"/>
  <c r="G89" i="5"/>
  <c r="D89" i="5"/>
  <c r="I88" i="5"/>
  <c r="F89" i="5"/>
  <c r="G91" i="5"/>
  <c r="D91" i="5"/>
  <c r="I90" i="5"/>
  <c r="F91" i="5"/>
  <c r="I92" i="5"/>
  <c r="F93" i="5"/>
  <c r="G95" i="5"/>
  <c r="D95" i="5"/>
  <c r="I94" i="5"/>
  <c r="F95" i="5"/>
  <c r="G97" i="5"/>
  <c r="D97" i="5"/>
  <c r="I96" i="5"/>
  <c r="F97" i="5"/>
  <c r="G99" i="5"/>
  <c r="D99" i="5"/>
  <c r="I98" i="5"/>
  <c r="F99" i="5"/>
  <c r="G101" i="5"/>
  <c r="D101" i="5"/>
  <c r="I100" i="5"/>
  <c r="F101" i="5"/>
  <c r="G103" i="5"/>
  <c r="D103" i="5"/>
  <c r="K103" i="5"/>
  <c r="I102" i="5"/>
  <c r="H103" i="5"/>
  <c r="G112" i="5"/>
  <c r="D112" i="5"/>
  <c r="H112" i="5"/>
  <c r="E111" i="5"/>
  <c r="D19" i="6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63" i="6"/>
  <c r="G64" i="6"/>
  <c r="D67" i="6"/>
  <c r="H67" i="6"/>
  <c r="G68" i="6"/>
  <c r="D71" i="6"/>
  <c r="H71" i="6"/>
  <c r="G72" i="6"/>
  <c r="D75" i="6"/>
  <c r="H75" i="6"/>
  <c r="D79" i="6"/>
  <c r="E78" i="6"/>
  <c r="I78" i="6"/>
  <c r="I84" i="6"/>
  <c r="D85" i="6"/>
  <c r="H85" i="6"/>
  <c r="D93" i="6"/>
  <c r="H93" i="6"/>
  <c r="E92" i="6"/>
  <c r="I92" i="6"/>
  <c r="K112" i="6"/>
  <c r="D112" i="6"/>
  <c r="H112" i="6"/>
  <c r="I111" i="6"/>
  <c r="E111" i="6"/>
  <c r="K113" i="8"/>
  <c r="D113" i="8"/>
  <c r="I112" i="8"/>
  <c r="E112" i="8"/>
  <c r="K117" i="8"/>
  <c r="I116" i="8"/>
  <c r="E116" i="8"/>
  <c r="D93" i="5"/>
  <c r="G110" i="5"/>
  <c r="D110" i="5"/>
  <c r="H110" i="5"/>
  <c r="E109" i="5"/>
  <c r="H68" i="6"/>
  <c r="H79" i="6"/>
  <c r="D80" i="6"/>
  <c r="K108" i="7"/>
  <c r="E107" i="7"/>
  <c r="I107" i="7"/>
  <c r="D108" i="7"/>
  <c r="D64" i="4"/>
  <c r="G66" i="4"/>
  <c r="D66" i="4"/>
  <c r="I65" i="4"/>
  <c r="F66" i="4"/>
  <c r="G68" i="4"/>
  <c r="D68" i="4"/>
  <c r="I67" i="4"/>
  <c r="F68" i="4"/>
  <c r="G70" i="4"/>
  <c r="D70" i="4"/>
  <c r="I69" i="4"/>
  <c r="F70" i="4"/>
  <c r="G72" i="4"/>
  <c r="D72" i="4"/>
  <c r="I71" i="4"/>
  <c r="F72" i="4"/>
  <c r="H74" i="4"/>
  <c r="D74" i="4"/>
  <c r="I73" i="4"/>
  <c r="F74" i="4"/>
  <c r="K77" i="4"/>
  <c r="D77" i="4"/>
  <c r="K81" i="4"/>
  <c r="D81" i="4"/>
  <c r="K85" i="4"/>
  <c r="D85" i="4"/>
  <c r="K89" i="4"/>
  <c r="D89" i="4"/>
  <c r="K93" i="4"/>
  <c r="K97" i="4"/>
  <c r="D97" i="4"/>
  <c r="K101" i="4"/>
  <c r="D101" i="4"/>
  <c r="K105" i="4"/>
  <c r="D105" i="4"/>
  <c r="K109" i="4"/>
  <c r="D109" i="4"/>
  <c r="K113" i="4"/>
  <c r="D113" i="4"/>
  <c r="G66" i="5"/>
  <c r="D66" i="5"/>
  <c r="I65" i="5"/>
  <c r="F66" i="5"/>
  <c r="G68" i="5"/>
  <c r="D68" i="5"/>
  <c r="I67" i="5"/>
  <c r="F68" i="5"/>
  <c r="G70" i="5"/>
  <c r="D70" i="5"/>
  <c r="I69" i="5"/>
  <c r="F70" i="5"/>
  <c r="G72" i="5"/>
  <c r="D72" i="5"/>
  <c r="I71" i="5"/>
  <c r="F72" i="5"/>
  <c r="G74" i="5"/>
  <c r="D74" i="5"/>
  <c r="I73" i="5"/>
  <c r="F74" i="5"/>
  <c r="G76" i="5"/>
  <c r="D76" i="5"/>
  <c r="I75" i="5"/>
  <c r="F76" i="5"/>
  <c r="G78" i="5"/>
  <c r="D78" i="5"/>
  <c r="I77" i="5"/>
  <c r="F78" i="5"/>
  <c r="G80" i="5"/>
  <c r="D80" i="5"/>
  <c r="I79" i="5"/>
  <c r="F80" i="5"/>
  <c r="G82" i="5"/>
  <c r="D82" i="5"/>
  <c r="I81" i="5"/>
  <c r="F82" i="5"/>
  <c r="G84" i="5"/>
  <c r="D84" i="5"/>
  <c r="I83" i="5"/>
  <c r="F84" i="5"/>
  <c r="G86" i="5"/>
  <c r="D86" i="5"/>
  <c r="I85" i="5"/>
  <c r="F86" i="5"/>
  <c r="G88" i="5"/>
  <c r="D88" i="5"/>
  <c r="I87" i="5"/>
  <c r="F88" i="5"/>
  <c r="G90" i="5"/>
  <c r="D90" i="5"/>
  <c r="I89" i="5"/>
  <c r="F90" i="5"/>
  <c r="G92" i="5"/>
  <c r="D92" i="5"/>
  <c r="I91" i="5"/>
  <c r="F92" i="5"/>
  <c r="G94" i="5"/>
  <c r="D94" i="5"/>
  <c r="I93" i="5"/>
  <c r="F94" i="5"/>
  <c r="G96" i="5"/>
  <c r="D96" i="5"/>
  <c r="I95" i="5"/>
  <c r="F96" i="5"/>
  <c r="G98" i="5"/>
  <c r="D98" i="5"/>
  <c r="I97" i="5"/>
  <c r="F98" i="5"/>
  <c r="G100" i="5"/>
  <c r="D100" i="5"/>
  <c r="I99" i="5"/>
  <c r="F100" i="5"/>
  <c r="G102" i="5"/>
  <c r="D102" i="5"/>
  <c r="I101" i="5"/>
  <c r="F102" i="5"/>
  <c r="G104" i="5"/>
  <c r="D104" i="5"/>
  <c r="H104" i="5"/>
  <c r="E103" i="5"/>
  <c r="G105" i="5"/>
  <c r="K105" i="5"/>
  <c r="D105" i="5"/>
  <c r="F105" i="5"/>
  <c r="K104" i="5"/>
  <c r="G108" i="5"/>
  <c r="D108" i="5"/>
  <c r="H108" i="5"/>
  <c r="E107" i="5"/>
  <c r="H109" i="5"/>
  <c r="F110" i="5"/>
  <c r="I111" i="5"/>
  <c r="K112" i="5"/>
  <c r="G116" i="5"/>
  <c r="F116" i="5"/>
  <c r="E115" i="5"/>
  <c r="H116" i="5"/>
  <c r="D116" i="5"/>
  <c r="G67" i="6"/>
  <c r="G71" i="6"/>
  <c r="G75" i="6"/>
  <c r="D81" i="6"/>
  <c r="E80" i="6"/>
  <c r="I80" i="6"/>
  <c r="G93" i="6"/>
  <c r="D101" i="6"/>
  <c r="I100" i="6"/>
  <c r="D78" i="7"/>
  <c r="E77" i="7"/>
  <c r="D82" i="7"/>
  <c r="E81" i="7"/>
  <c r="I85" i="7"/>
  <c r="D86" i="7"/>
  <c r="E85" i="7"/>
  <c r="I89" i="7"/>
  <c r="D90" i="7"/>
  <c r="E89" i="7"/>
  <c r="I93" i="7"/>
  <c r="D94" i="7"/>
  <c r="E93" i="7"/>
  <c r="I97" i="7"/>
  <c r="D98" i="7"/>
  <c r="E97" i="7"/>
  <c r="I101" i="7"/>
  <c r="D102" i="7"/>
  <c r="E101" i="7"/>
  <c r="K106" i="7"/>
  <c r="D106" i="7"/>
  <c r="E105" i="7"/>
  <c r="I105" i="7"/>
  <c r="H64" i="6"/>
  <c r="H72" i="6"/>
  <c r="K65" i="4"/>
  <c r="H66" i="4"/>
  <c r="K67" i="4"/>
  <c r="H68" i="4"/>
  <c r="K69" i="4"/>
  <c r="H70" i="4"/>
  <c r="K71" i="4"/>
  <c r="H72" i="4"/>
  <c r="K73" i="4"/>
  <c r="I74" i="4"/>
  <c r="H66" i="5"/>
  <c r="K67" i="5"/>
  <c r="H68" i="5"/>
  <c r="K69" i="5"/>
  <c r="H70" i="5"/>
  <c r="K71" i="5"/>
  <c r="H72" i="5"/>
  <c r="K73" i="5"/>
  <c r="H74" i="5"/>
  <c r="K75" i="5"/>
  <c r="H76" i="5"/>
  <c r="K77" i="5"/>
  <c r="H78" i="5"/>
  <c r="K79" i="5"/>
  <c r="H80" i="5"/>
  <c r="K81" i="5"/>
  <c r="H82" i="5"/>
  <c r="K83" i="5"/>
  <c r="H84" i="5"/>
  <c r="K85" i="5"/>
  <c r="H86" i="5"/>
  <c r="K87" i="5"/>
  <c r="H88" i="5"/>
  <c r="K89" i="5"/>
  <c r="H90" i="5"/>
  <c r="K91" i="5"/>
  <c r="H92" i="5"/>
  <c r="K93" i="5"/>
  <c r="H94" i="5"/>
  <c r="K95" i="5"/>
  <c r="H96" i="5"/>
  <c r="K97" i="5"/>
  <c r="H98" i="5"/>
  <c r="K99" i="5"/>
  <c r="H100" i="5"/>
  <c r="K101" i="5"/>
  <c r="H102" i="5"/>
  <c r="F103" i="5"/>
  <c r="G106" i="5"/>
  <c r="D106" i="5"/>
  <c r="H106" i="5"/>
  <c r="E105" i="5"/>
  <c r="I109" i="5"/>
  <c r="K110" i="5"/>
  <c r="G114" i="5"/>
  <c r="D114" i="5"/>
  <c r="H114" i="5"/>
  <c r="E113" i="5"/>
  <c r="G85" i="6"/>
  <c r="H87" i="6"/>
  <c r="D88" i="6"/>
  <c r="D99" i="6"/>
  <c r="I98" i="6"/>
  <c r="K116" i="6"/>
  <c r="D116" i="6"/>
  <c r="H116" i="6"/>
  <c r="I115" i="6"/>
  <c r="E115" i="6"/>
  <c r="G107" i="5"/>
  <c r="D107" i="5"/>
  <c r="I106" i="5"/>
  <c r="F107" i="5"/>
  <c r="G109" i="5"/>
  <c r="I108" i="5"/>
  <c r="F109" i="5"/>
  <c r="G111" i="5"/>
  <c r="D111" i="5"/>
  <c r="I110" i="5"/>
  <c r="F111" i="5"/>
  <c r="G113" i="5"/>
  <c r="I112" i="5"/>
  <c r="F113" i="5"/>
  <c r="G115" i="5"/>
  <c r="D115" i="5"/>
  <c r="I114" i="5"/>
  <c r="F115" i="5"/>
  <c r="G65" i="6"/>
  <c r="H66" i="6"/>
  <c r="H70" i="6"/>
  <c r="G73" i="6"/>
  <c r="H74" i="6"/>
  <c r="G77" i="6"/>
  <c r="E82" i="6"/>
  <c r="H83" i="6"/>
  <c r="E86" i="6"/>
  <c r="E88" i="6"/>
  <c r="G91" i="6"/>
  <c r="H97" i="6"/>
  <c r="I102" i="6"/>
  <c r="E104" i="6"/>
  <c r="E106" i="6"/>
  <c r="H109" i="6"/>
  <c r="K113" i="6"/>
  <c r="D113" i="6"/>
  <c r="H113" i="6"/>
  <c r="K117" i="6"/>
  <c r="D117" i="6"/>
  <c r="E71" i="7"/>
  <c r="D77" i="7"/>
  <c r="E76" i="7"/>
  <c r="D81" i="7"/>
  <c r="E80" i="7"/>
  <c r="I84" i="7"/>
  <c r="D85" i="7"/>
  <c r="E84" i="7"/>
  <c r="I88" i="7"/>
  <c r="D89" i="7"/>
  <c r="E88" i="7"/>
  <c r="I92" i="7"/>
  <c r="D93" i="7"/>
  <c r="E92" i="7"/>
  <c r="I96" i="7"/>
  <c r="D97" i="7"/>
  <c r="E96" i="7"/>
  <c r="I100" i="7"/>
  <c r="D101" i="7"/>
  <c r="E100" i="7"/>
  <c r="I104" i="7"/>
  <c r="D105" i="7"/>
  <c r="E104" i="7"/>
  <c r="D88" i="8"/>
  <c r="G88" i="8"/>
  <c r="D92" i="8"/>
  <c r="G92" i="8"/>
  <c r="D96" i="8"/>
  <c r="G96" i="8"/>
  <c r="D100" i="8"/>
  <c r="G100" i="8"/>
  <c r="D104" i="8"/>
  <c r="G104" i="8"/>
  <c r="D108" i="8"/>
  <c r="G108" i="8"/>
  <c r="D113" i="5"/>
  <c r="H103" i="6"/>
  <c r="K108" i="6"/>
  <c r="D108" i="6"/>
  <c r="K110" i="6"/>
  <c r="D110" i="6"/>
  <c r="H110" i="6"/>
  <c r="K111" i="6"/>
  <c r="H111" i="6"/>
  <c r="D111" i="6"/>
  <c r="K115" i="6"/>
  <c r="D115" i="6"/>
  <c r="H115" i="6"/>
  <c r="D79" i="7"/>
  <c r="E78" i="7"/>
  <c r="D83" i="7"/>
  <c r="E82" i="7"/>
  <c r="I86" i="7"/>
  <c r="D87" i="7"/>
  <c r="E86" i="7"/>
  <c r="I90" i="7"/>
  <c r="D91" i="7"/>
  <c r="E90" i="7"/>
  <c r="I94" i="7"/>
  <c r="D95" i="7"/>
  <c r="E94" i="7"/>
  <c r="I98" i="7"/>
  <c r="D99" i="7"/>
  <c r="E98" i="7"/>
  <c r="I102" i="7"/>
  <c r="D103" i="7"/>
  <c r="E102" i="7"/>
  <c r="K110" i="7"/>
  <c r="D110" i="7"/>
  <c r="E109" i="7"/>
  <c r="K112" i="7"/>
  <c r="D112" i="7"/>
  <c r="E111" i="7"/>
  <c r="D86" i="8"/>
  <c r="G86" i="8"/>
  <c r="D90" i="8"/>
  <c r="G90" i="8"/>
  <c r="D94" i="8"/>
  <c r="G94" i="8"/>
  <c r="D98" i="8"/>
  <c r="G98" i="8"/>
  <c r="D102" i="8"/>
  <c r="G102" i="8"/>
  <c r="D106" i="8"/>
  <c r="G106" i="8"/>
  <c r="D109" i="6"/>
  <c r="K107" i="5"/>
  <c r="K109" i="5"/>
  <c r="K111" i="5"/>
  <c r="K113" i="5"/>
  <c r="K115" i="5"/>
  <c r="G66" i="6"/>
  <c r="G70" i="6"/>
  <c r="G74" i="6"/>
  <c r="G83" i="6"/>
  <c r="G89" i="6"/>
  <c r="H95" i="6"/>
  <c r="D96" i="6"/>
  <c r="E102" i="6"/>
  <c r="K107" i="6"/>
  <c r="D107" i="6"/>
  <c r="E107" i="6"/>
  <c r="E108" i="6"/>
  <c r="E109" i="6"/>
  <c r="E110" i="6"/>
  <c r="K114" i="6"/>
  <c r="D114" i="6"/>
  <c r="H114" i="6"/>
  <c r="E114" i="6"/>
  <c r="I66" i="7"/>
  <c r="G69" i="7"/>
  <c r="D69" i="7"/>
  <c r="K69" i="7"/>
  <c r="E68" i="7"/>
  <c r="G71" i="7"/>
  <c r="D71" i="7"/>
  <c r="F71" i="7"/>
  <c r="I70" i="7"/>
  <c r="G72" i="7"/>
  <c r="D72" i="7"/>
  <c r="G73" i="7"/>
  <c r="D73" i="7"/>
  <c r="K73" i="7"/>
  <c r="E72" i="7"/>
  <c r="D75" i="7"/>
  <c r="F75" i="7"/>
  <c r="I74" i="7"/>
  <c r="E74" i="7"/>
  <c r="E79" i="7"/>
  <c r="D80" i="7"/>
  <c r="D84" i="7"/>
  <c r="E83" i="7"/>
  <c r="I87" i="7"/>
  <c r="D88" i="7"/>
  <c r="E87" i="7"/>
  <c r="I91" i="7"/>
  <c r="E91" i="7"/>
  <c r="I95" i="7"/>
  <c r="E95" i="7"/>
  <c r="D96" i="7"/>
  <c r="I99" i="7"/>
  <c r="D100" i="7"/>
  <c r="E99" i="7"/>
  <c r="I103" i="7"/>
  <c r="D104" i="7"/>
  <c r="E103" i="7"/>
  <c r="I109" i="7"/>
  <c r="I111" i="7"/>
  <c r="K114" i="7"/>
  <c r="D114" i="7"/>
  <c r="E113" i="7"/>
  <c r="K116" i="7"/>
  <c r="D116" i="7"/>
  <c r="E115" i="7"/>
  <c r="K107" i="7"/>
  <c r="D107" i="7"/>
  <c r="K111" i="7"/>
  <c r="D111" i="7"/>
  <c r="K115" i="7"/>
  <c r="D115" i="7"/>
  <c r="I64" i="8"/>
  <c r="D65" i="8"/>
  <c r="I68" i="8"/>
  <c r="D69" i="8"/>
  <c r="I72" i="8"/>
  <c r="D73" i="8"/>
  <c r="K114" i="8"/>
  <c r="D114" i="8"/>
  <c r="D103" i="8"/>
  <c r="D87" i="8"/>
  <c r="D71" i="8"/>
  <c r="G68" i="7"/>
  <c r="G70" i="7"/>
  <c r="D70" i="7"/>
  <c r="G74" i="7"/>
  <c r="D74" i="7"/>
  <c r="I106" i="7"/>
  <c r="K109" i="7"/>
  <c r="D109" i="7"/>
  <c r="I110" i="7"/>
  <c r="K113" i="7"/>
  <c r="D113" i="7"/>
  <c r="I114" i="7"/>
  <c r="K117" i="7"/>
  <c r="I65" i="8"/>
  <c r="D66" i="8"/>
  <c r="I67" i="8"/>
  <c r="D68" i="8"/>
  <c r="I69" i="8"/>
  <c r="D70" i="8"/>
  <c r="I71" i="8"/>
  <c r="D72" i="8"/>
  <c r="I73" i="8"/>
  <c r="D74" i="8"/>
  <c r="G85" i="8"/>
  <c r="G89" i="8"/>
  <c r="G91" i="8"/>
  <c r="G93" i="8"/>
  <c r="G95" i="8"/>
  <c r="G97" i="8"/>
  <c r="G101" i="8"/>
  <c r="G105" i="8"/>
  <c r="G107" i="8"/>
  <c r="G109" i="8"/>
  <c r="K112" i="8"/>
  <c r="D112" i="8"/>
  <c r="I113" i="8"/>
  <c r="K116" i="8"/>
  <c r="D116" i="8"/>
  <c r="D111" i="8"/>
  <c r="E115" i="8"/>
  <c r="D68" i="7"/>
  <c r="D75" i="8"/>
  <c r="K80" i="8"/>
  <c r="F80" i="8"/>
  <c r="H80" i="8"/>
  <c r="I79" i="8"/>
  <c r="E79" i="8"/>
  <c r="G79" i="8"/>
  <c r="G80" i="8"/>
  <c r="K84" i="8"/>
  <c r="F84" i="8"/>
  <c r="H84" i="8"/>
  <c r="I83" i="8"/>
  <c r="E83" i="8"/>
  <c r="G83" i="8"/>
  <c r="G84" i="8"/>
  <c r="K78" i="8"/>
  <c r="F78" i="8"/>
  <c r="H78" i="8"/>
  <c r="I77" i="8"/>
  <c r="E77" i="8"/>
  <c r="G77" i="8"/>
  <c r="G78" i="8"/>
  <c r="K82" i="8"/>
  <c r="F82" i="8"/>
  <c r="H82" i="8"/>
  <c r="I81" i="8"/>
  <c r="E81" i="8"/>
  <c r="G81" i="8"/>
  <c r="G82" i="8"/>
  <c r="K77" i="8"/>
  <c r="F77" i="8"/>
  <c r="H77" i="8"/>
  <c r="I76" i="8"/>
  <c r="E76" i="8"/>
  <c r="K79" i="8"/>
  <c r="F79" i="8"/>
  <c r="H79" i="8"/>
  <c r="I78" i="8"/>
  <c r="E78" i="8"/>
  <c r="K81" i="8"/>
  <c r="F81" i="8"/>
  <c r="H81" i="8"/>
  <c r="I80" i="8"/>
  <c r="E80" i="8"/>
  <c r="K83" i="8"/>
  <c r="F83" i="8"/>
  <c r="H83" i="8"/>
  <c r="I82" i="8"/>
  <c r="E82" i="8"/>
  <c r="K85" i="8"/>
  <c r="F85" i="8"/>
  <c r="H85" i="8"/>
  <c r="I84" i="8"/>
  <c r="E84" i="8"/>
  <c r="H65" i="8"/>
  <c r="K65" i="8"/>
  <c r="F65" i="8"/>
  <c r="H66" i="8"/>
  <c r="K66" i="8"/>
  <c r="F66" i="8"/>
  <c r="H67" i="8"/>
  <c r="K67" i="8"/>
  <c r="F67" i="8"/>
  <c r="H68" i="8"/>
  <c r="K68" i="8"/>
  <c r="F68" i="8"/>
  <c r="H69" i="8"/>
  <c r="K69" i="8"/>
  <c r="F69" i="8"/>
  <c r="H70" i="8"/>
  <c r="K70" i="8"/>
  <c r="F70" i="8"/>
  <c r="H71" i="8"/>
  <c r="K71" i="8"/>
  <c r="F71" i="8"/>
  <c r="H72" i="8"/>
  <c r="K72" i="8"/>
  <c r="F72" i="8"/>
  <c r="H73" i="8"/>
  <c r="K73" i="8"/>
  <c r="F73" i="8"/>
  <c r="H74" i="8"/>
  <c r="K74" i="8"/>
  <c r="F74" i="8"/>
  <c r="K75" i="8"/>
  <c r="H75" i="8"/>
  <c r="F75" i="8"/>
  <c r="K76" i="8"/>
  <c r="F76" i="8"/>
  <c r="H76" i="8"/>
  <c r="I75" i="8"/>
  <c r="G76" i="8"/>
  <c r="G65" i="8"/>
  <c r="G66" i="8"/>
  <c r="G67" i="8"/>
  <c r="G68" i="8"/>
  <c r="G69" i="8"/>
  <c r="G70" i="8"/>
  <c r="G71" i="8"/>
  <c r="G72" i="8"/>
  <c r="G73" i="8"/>
  <c r="G74" i="8"/>
  <c r="G75" i="8"/>
  <c r="K86" i="8"/>
  <c r="F86" i="8"/>
  <c r="H86" i="8"/>
  <c r="K87" i="8"/>
  <c r="F87" i="8"/>
  <c r="H87" i="8"/>
  <c r="K88" i="8"/>
  <c r="F88" i="8"/>
  <c r="H88" i="8"/>
  <c r="K89" i="8"/>
  <c r="F89" i="8"/>
  <c r="H89" i="8"/>
  <c r="K90" i="8"/>
  <c r="F90" i="8"/>
  <c r="H90" i="8"/>
  <c r="K91" i="8"/>
  <c r="F91" i="8"/>
  <c r="H91" i="8"/>
  <c r="K92" i="8"/>
  <c r="F92" i="8"/>
  <c r="H92" i="8"/>
  <c r="K93" i="8"/>
  <c r="F93" i="8"/>
  <c r="H93" i="8"/>
  <c r="K94" i="8"/>
  <c r="F94" i="8"/>
  <c r="H94" i="8"/>
  <c r="K95" i="8"/>
  <c r="F95" i="8"/>
  <c r="H95" i="8"/>
  <c r="K96" i="8"/>
  <c r="F96" i="8"/>
  <c r="H96" i="8"/>
  <c r="K97" i="8"/>
  <c r="F97" i="8"/>
  <c r="H97" i="8"/>
  <c r="K98" i="8"/>
  <c r="F98" i="8"/>
  <c r="H98" i="8"/>
  <c r="K99" i="8"/>
  <c r="F99" i="8"/>
  <c r="H99" i="8"/>
  <c r="K100" i="8"/>
  <c r="F100" i="8"/>
  <c r="H100" i="8"/>
  <c r="K101" i="8"/>
  <c r="F101" i="8"/>
  <c r="H101" i="8"/>
  <c r="K102" i="8"/>
  <c r="F102" i="8"/>
  <c r="H102" i="8"/>
  <c r="K103" i="8"/>
  <c r="F103" i="8"/>
  <c r="H103" i="8"/>
  <c r="K104" i="8"/>
  <c r="F104" i="8"/>
  <c r="H104" i="8"/>
  <c r="K105" i="8"/>
  <c r="F105" i="8"/>
  <c r="H105" i="8"/>
  <c r="K106" i="8"/>
  <c r="F106" i="8"/>
  <c r="H106" i="8"/>
  <c r="K107" i="8"/>
  <c r="F107" i="8"/>
  <c r="H107" i="8"/>
  <c r="K108" i="8"/>
  <c r="F108" i="8"/>
  <c r="H108" i="8"/>
  <c r="K109" i="8"/>
  <c r="F109" i="8"/>
  <c r="H109" i="8"/>
  <c r="K110" i="8"/>
  <c r="F110" i="8"/>
  <c r="H110" i="8"/>
  <c r="G110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G111" i="8"/>
  <c r="G112" i="8"/>
  <c r="G113" i="8"/>
  <c r="G114" i="8"/>
  <c r="G115" i="8"/>
  <c r="G116" i="8"/>
  <c r="G117" i="8"/>
  <c r="H111" i="8"/>
  <c r="H112" i="8"/>
  <c r="H113" i="8"/>
  <c r="H114" i="8"/>
  <c r="H115" i="8"/>
  <c r="H116" i="8"/>
  <c r="D117" i="8"/>
  <c r="H117" i="8"/>
  <c r="F111" i="8"/>
  <c r="F112" i="8"/>
  <c r="F113" i="8"/>
  <c r="F114" i="8"/>
  <c r="F115" i="8"/>
  <c r="F116" i="8"/>
  <c r="F117" i="8"/>
  <c r="E18" i="7"/>
  <c r="G67" i="7"/>
  <c r="H67" i="7"/>
  <c r="E66" i="7"/>
  <c r="K67" i="7"/>
  <c r="F67" i="7"/>
  <c r="H66" i="7"/>
  <c r="I65" i="7"/>
  <c r="F66" i="7"/>
  <c r="E65" i="7"/>
  <c r="G66" i="7"/>
  <c r="K78" i="7"/>
  <c r="F78" i="7"/>
  <c r="H78" i="7"/>
  <c r="G78" i="7"/>
  <c r="I77" i="7"/>
  <c r="K80" i="7"/>
  <c r="F80" i="7"/>
  <c r="H80" i="7"/>
  <c r="G80" i="7"/>
  <c r="I79" i="7"/>
  <c r="K82" i="7"/>
  <c r="F82" i="7"/>
  <c r="H82" i="7"/>
  <c r="G82" i="7"/>
  <c r="I81" i="7"/>
  <c r="K84" i="7"/>
  <c r="F84" i="7"/>
  <c r="H84" i="7"/>
  <c r="G84" i="7"/>
  <c r="I83" i="7"/>
  <c r="K66" i="7"/>
  <c r="K77" i="7"/>
  <c r="F77" i="7"/>
  <c r="H77" i="7"/>
  <c r="G77" i="7"/>
  <c r="I76" i="7"/>
  <c r="K79" i="7"/>
  <c r="F79" i="7"/>
  <c r="H79" i="7"/>
  <c r="G79" i="7"/>
  <c r="I78" i="7"/>
  <c r="K81" i="7"/>
  <c r="F81" i="7"/>
  <c r="H81" i="7"/>
  <c r="G81" i="7"/>
  <c r="I80" i="7"/>
  <c r="K83" i="7"/>
  <c r="F83" i="7"/>
  <c r="H83" i="7"/>
  <c r="G83" i="7"/>
  <c r="I82" i="7"/>
  <c r="H68" i="7"/>
  <c r="H69" i="7"/>
  <c r="H70" i="7"/>
  <c r="H71" i="7"/>
  <c r="H72" i="7"/>
  <c r="H73" i="7"/>
  <c r="H74" i="7"/>
  <c r="K85" i="7"/>
  <c r="F85" i="7"/>
  <c r="H85" i="7"/>
  <c r="K86" i="7"/>
  <c r="F86" i="7"/>
  <c r="H86" i="7"/>
  <c r="K87" i="7"/>
  <c r="F87" i="7"/>
  <c r="H87" i="7"/>
  <c r="K88" i="7"/>
  <c r="F88" i="7"/>
  <c r="H88" i="7"/>
  <c r="K89" i="7"/>
  <c r="F89" i="7"/>
  <c r="H89" i="7"/>
  <c r="K90" i="7"/>
  <c r="F90" i="7"/>
  <c r="H90" i="7"/>
  <c r="K91" i="7"/>
  <c r="F91" i="7"/>
  <c r="H91" i="7"/>
  <c r="K92" i="7"/>
  <c r="F92" i="7"/>
  <c r="H92" i="7"/>
  <c r="K93" i="7"/>
  <c r="F93" i="7"/>
  <c r="H93" i="7"/>
  <c r="K94" i="7"/>
  <c r="F94" i="7"/>
  <c r="H94" i="7"/>
  <c r="K95" i="7"/>
  <c r="F95" i="7"/>
  <c r="H95" i="7"/>
  <c r="K96" i="7"/>
  <c r="F96" i="7"/>
  <c r="H96" i="7"/>
  <c r="K97" i="7"/>
  <c r="F97" i="7"/>
  <c r="H97" i="7"/>
  <c r="K98" i="7"/>
  <c r="F98" i="7"/>
  <c r="H98" i="7"/>
  <c r="K99" i="7"/>
  <c r="F99" i="7"/>
  <c r="H99" i="7"/>
  <c r="K100" i="7"/>
  <c r="F100" i="7"/>
  <c r="H100" i="7"/>
  <c r="K101" i="7"/>
  <c r="F101" i="7"/>
  <c r="H101" i="7"/>
  <c r="K102" i="7"/>
  <c r="F102" i="7"/>
  <c r="H102" i="7"/>
  <c r="K103" i="7"/>
  <c r="F103" i="7"/>
  <c r="H103" i="7"/>
  <c r="K104" i="7"/>
  <c r="F104" i="7"/>
  <c r="H104" i="7"/>
  <c r="K105" i="7"/>
  <c r="F105" i="7"/>
  <c r="H105" i="7"/>
  <c r="G105" i="7"/>
  <c r="K75" i="7"/>
  <c r="H75" i="7"/>
  <c r="K76" i="7"/>
  <c r="F76" i="7"/>
  <c r="H76" i="7"/>
  <c r="G75" i="7"/>
  <c r="G76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H106" i="7"/>
  <c r="H107" i="7"/>
  <c r="H108" i="7"/>
  <c r="H109" i="7"/>
  <c r="H110" i="7"/>
  <c r="H111" i="7"/>
  <c r="H112" i="7"/>
  <c r="H113" i="7"/>
  <c r="H114" i="7"/>
  <c r="H115" i="7"/>
  <c r="H116" i="7"/>
  <c r="D117" i="7"/>
  <c r="H117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K84" i="6"/>
  <c r="F84" i="6"/>
  <c r="G84" i="6"/>
  <c r="I83" i="6"/>
  <c r="H84" i="6"/>
  <c r="E83" i="6"/>
  <c r="K92" i="6"/>
  <c r="F92" i="6"/>
  <c r="G92" i="6"/>
  <c r="I91" i="6"/>
  <c r="H92" i="6"/>
  <c r="E91" i="6"/>
  <c r="K104" i="6"/>
  <c r="F104" i="6"/>
  <c r="G104" i="6"/>
  <c r="I103" i="6"/>
  <c r="G103" i="6"/>
  <c r="H104" i="6"/>
  <c r="E103" i="6"/>
  <c r="G18" i="6"/>
  <c r="K82" i="6"/>
  <c r="F82" i="6"/>
  <c r="G82" i="6"/>
  <c r="I81" i="6"/>
  <c r="H82" i="6"/>
  <c r="E81" i="6"/>
  <c r="K90" i="6"/>
  <c r="F90" i="6"/>
  <c r="G90" i="6"/>
  <c r="I89" i="6"/>
  <c r="H90" i="6"/>
  <c r="E89" i="6"/>
  <c r="K98" i="6"/>
  <c r="F98" i="6"/>
  <c r="G98" i="6"/>
  <c r="I97" i="6"/>
  <c r="G97" i="6"/>
  <c r="H98" i="6"/>
  <c r="E97" i="6"/>
  <c r="K106" i="6"/>
  <c r="F106" i="6"/>
  <c r="G106" i="6"/>
  <c r="H106" i="6"/>
  <c r="I105" i="6"/>
  <c r="H105" i="6"/>
  <c r="G105" i="6"/>
  <c r="E105" i="6"/>
  <c r="K80" i="6"/>
  <c r="F80" i="6"/>
  <c r="G80" i="6"/>
  <c r="I79" i="6"/>
  <c r="H80" i="6"/>
  <c r="E79" i="6"/>
  <c r="K88" i="6"/>
  <c r="F88" i="6"/>
  <c r="G88" i="6"/>
  <c r="I87" i="6"/>
  <c r="H88" i="6"/>
  <c r="E87" i="6"/>
  <c r="K96" i="6"/>
  <c r="F96" i="6"/>
  <c r="G96" i="6"/>
  <c r="I95" i="6"/>
  <c r="H96" i="6"/>
  <c r="E95" i="6"/>
  <c r="K100" i="6"/>
  <c r="F100" i="6"/>
  <c r="G100" i="6"/>
  <c r="I99" i="6"/>
  <c r="G99" i="6"/>
  <c r="H100" i="6"/>
  <c r="E99" i="6"/>
  <c r="E18" i="6"/>
  <c r="I63" i="6"/>
  <c r="E63" i="6"/>
  <c r="K64" i="6"/>
  <c r="F64" i="6"/>
  <c r="I64" i="6"/>
  <c r="E64" i="6"/>
  <c r="K65" i="6"/>
  <c r="F65" i="6"/>
  <c r="I65" i="6"/>
  <c r="E65" i="6"/>
  <c r="K66" i="6"/>
  <c r="F66" i="6"/>
  <c r="I66" i="6"/>
  <c r="E66" i="6"/>
  <c r="K67" i="6"/>
  <c r="F67" i="6"/>
  <c r="I67" i="6"/>
  <c r="E67" i="6"/>
  <c r="K68" i="6"/>
  <c r="F68" i="6"/>
  <c r="I68" i="6"/>
  <c r="E68" i="6"/>
  <c r="K69" i="6"/>
  <c r="F69" i="6"/>
  <c r="I69" i="6"/>
  <c r="E69" i="6"/>
  <c r="K70" i="6"/>
  <c r="F70" i="6"/>
  <c r="I70" i="6"/>
  <c r="E70" i="6"/>
  <c r="K71" i="6"/>
  <c r="F71" i="6"/>
  <c r="I71" i="6"/>
  <c r="E71" i="6"/>
  <c r="K72" i="6"/>
  <c r="F72" i="6"/>
  <c r="I72" i="6"/>
  <c r="E72" i="6"/>
  <c r="K73" i="6"/>
  <c r="F73" i="6"/>
  <c r="I73" i="6"/>
  <c r="E73" i="6"/>
  <c r="K74" i="6"/>
  <c r="F74" i="6"/>
  <c r="K75" i="6"/>
  <c r="I74" i="6"/>
  <c r="E74" i="6"/>
  <c r="F75" i="6"/>
  <c r="K76" i="6"/>
  <c r="F76" i="6"/>
  <c r="G76" i="6"/>
  <c r="I75" i="6"/>
  <c r="E75" i="6"/>
  <c r="H76" i="6"/>
  <c r="K78" i="6"/>
  <c r="F78" i="6"/>
  <c r="G78" i="6"/>
  <c r="I77" i="6"/>
  <c r="H78" i="6"/>
  <c r="E77" i="6"/>
  <c r="G79" i="6"/>
  <c r="H81" i="6"/>
  <c r="K86" i="6"/>
  <c r="F86" i="6"/>
  <c r="G86" i="6"/>
  <c r="I85" i="6"/>
  <c r="H86" i="6"/>
  <c r="E85" i="6"/>
  <c r="G87" i="6"/>
  <c r="H89" i="6"/>
  <c r="K94" i="6"/>
  <c r="F94" i="6"/>
  <c r="G94" i="6"/>
  <c r="I93" i="6"/>
  <c r="H94" i="6"/>
  <c r="E93" i="6"/>
  <c r="G95" i="6"/>
  <c r="H99" i="6"/>
  <c r="K102" i="6"/>
  <c r="F102" i="6"/>
  <c r="G102" i="6"/>
  <c r="I101" i="6"/>
  <c r="G101" i="6"/>
  <c r="H102" i="6"/>
  <c r="E101" i="6"/>
  <c r="K77" i="6"/>
  <c r="F77" i="6"/>
  <c r="K79" i="6"/>
  <c r="F79" i="6"/>
  <c r="K81" i="6"/>
  <c r="F81" i="6"/>
  <c r="K83" i="6"/>
  <c r="F83" i="6"/>
  <c r="K85" i="6"/>
  <c r="F85" i="6"/>
  <c r="K87" i="6"/>
  <c r="F87" i="6"/>
  <c r="K89" i="6"/>
  <c r="F89" i="6"/>
  <c r="K91" i="6"/>
  <c r="F91" i="6"/>
  <c r="K93" i="6"/>
  <c r="F93" i="6"/>
  <c r="K95" i="6"/>
  <c r="F95" i="6"/>
  <c r="K97" i="6"/>
  <c r="F97" i="6"/>
  <c r="K99" i="6"/>
  <c r="F99" i="6"/>
  <c r="K101" i="6"/>
  <c r="F101" i="6"/>
  <c r="K103" i="6"/>
  <c r="F103" i="6"/>
  <c r="K105" i="6"/>
  <c r="F105" i="6"/>
  <c r="G107" i="6"/>
  <c r="G108" i="6"/>
  <c r="G109" i="6"/>
  <c r="G110" i="6"/>
  <c r="G111" i="6"/>
  <c r="G112" i="6"/>
  <c r="G113" i="6"/>
  <c r="G114" i="6"/>
  <c r="G115" i="6"/>
  <c r="G116" i="6"/>
  <c r="G117" i="6"/>
  <c r="F107" i="6"/>
  <c r="F108" i="6"/>
  <c r="F109" i="6"/>
  <c r="F110" i="6"/>
  <c r="F111" i="6"/>
  <c r="F112" i="6"/>
  <c r="F113" i="6"/>
  <c r="F114" i="6"/>
  <c r="F115" i="6"/>
  <c r="F116" i="6"/>
  <c r="F117" i="6"/>
  <c r="G17" i="5"/>
  <c r="H76" i="4"/>
  <c r="K76" i="4"/>
  <c r="G75" i="4"/>
  <c r="F75" i="4"/>
  <c r="G76" i="4"/>
  <c r="E75" i="4"/>
  <c r="F76" i="4"/>
  <c r="I75" i="4"/>
  <c r="H78" i="4"/>
  <c r="I77" i="4"/>
  <c r="F78" i="4"/>
  <c r="H80" i="4"/>
  <c r="I79" i="4"/>
  <c r="F80" i="4"/>
  <c r="H82" i="4"/>
  <c r="I81" i="4"/>
  <c r="F82" i="4"/>
  <c r="H84" i="4"/>
  <c r="I83" i="4"/>
  <c r="F84" i="4"/>
  <c r="H86" i="4"/>
  <c r="I85" i="4"/>
  <c r="F86" i="4"/>
  <c r="H88" i="4"/>
  <c r="I87" i="4"/>
  <c r="F88" i="4"/>
  <c r="H90" i="4"/>
  <c r="I89" i="4"/>
  <c r="F90" i="4"/>
  <c r="H92" i="4"/>
  <c r="I91" i="4"/>
  <c r="F92" i="4"/>
  <c r="H94" i="4"/>
  <c r="I93" i="4"/>
  <c r="F94" i="4"/>
  <c r="H96" i="4"/>
  <c r="I95" i="4"/>
  <c r="F96" i="4"/>
  <c r="H98" i="4"/>
  <c r="I97" i="4"/>
  <c r="F98" i="4"/>
  <c r="H100" i="4"/>
  <c r="I99" i="4"/>
  <c r="F100" i="4"/>
  <c r="H102" i="4"/>
  <c r="I101" i="4"/>
  <c r="F102" i="4"/>
  <c r="H104" i="4"/>
  <c r="I103" i="4"/>
  <c r="F104" i="4"/>
  <c r="H106" i="4"/>
  <c r="I105" i="4"/>
  <c r="F106" i="4"/>
  <c r="H108" i="4"/>
  <c r="I107" i="4"/>
  <c r="F108" i="4"/>
  <c r="H110" i="4"/>
  <c r="I109" i="4"/>
  <c r="F110" i="4"/>
  <c r="H112" i="4"/>
  <c r="I111" i="4"/>
  <c r="F112" i="4"/>
  <c r="H114" i="4"/>
  <c r="I113" i="4"/>
  <c r="F114" i="4"/>
  <c r="H116" i="4"/>
  <c r="D116" i="4"/>
  <c r="I115" i="4"/>
  <c r="F116" i="4"/>
  <c r="H75" i="4"/>
  <c r="G74" i="4"/>
  <c r="K75" i="4"/>
  <c r="E77" i="4"/>
  <c r="G78" i="4"/>
  <c r="E79" i="4"/>
  <c r="G80" i="4"/>
  <c r="E81" i="4"/>
  <c r="G82" i="4"/>
  <c r="E83" i="4"/>
  <c r="G84" i="4"/>
  <c r="E85" i="4"/>
  <c r="G86" i="4"/>
  <c r="E87" i="4"/>
  <c r="G88" i="4"/>
  <c r="E89" i="4"/>
  <c r="G90" i="4"/>
  <c r="E91" i="4"/>
  <c r="G92" i="4"/>
  <c r="E93" i="4"/>
  <c r="G94" i="4"/>
  <c r="E95" i="4"/>
  <c r="G96" i="4"/>
  <c r="E97" i="4"/>
  <c r="G98" i="4"/>
  <c r="E99" i="4"/>
  <c r="G100" i="4"/>
  <c r="E101" i="4"/>
  <c r="G102" i="4"/>
  <c r="E103" i="4"/>
  <c r="G104" i="4"/>
  <c r="E105" i="4"/>
  <c r="G106" i="4"/>
  <c r="E107" i="4"/>
  <c r="G108" i="4"/>
  <c r="E109" i="4"/>
  <c r="G110" i="4"/>
  <c r="E111" i="4"/>
  <c r="G112" i="4"/>
  <c r="E113" i="4"/>
  <c r="G114" i="4"/>
  <c r="E115" i="4"/>
  <c r="G116" i="4"/>
  <c r="H77" i="4"/>
  <c r="I76" i="4"/>
  <c r="F77" i="4"/>
  <c r="H79" i="4"/>
  <c r="I78" i="4"/>
  <c r="F79" i="4"/>
  <c r="H81" i="4"/>
  <c r="I80" i="4"/>
  <c r="F81" i="4"/>
  <c r="H83" i="4"/>
  <c r="I82" i="4"/>
  <c r="F83" i="4"/>
  <c r="H85" i="4"/>
  <c r="I84" i="4"/>
  <c r="F85" i="4"/>
  <c r="H87" i="4"/>
  <c r="I86" i="4"/>
  <c r="F87" i="4"/>
  <c r="H89" i="4"/>
  <c r="I88" i="4"/>
  <c r="F89" i="4"/>
  <c r="H91" i="4"/>
  <c r="I90" i="4"/>
  <c r="F91" i="4"/>
  <c r="H93" i="4"/>
  <c r="I92" i="4"/>
  <c r="F93" i="4"/>
  <c r="H95" i="4"/>
  <c r="I94" i="4"/>
  <c r="F95" i="4"/>
  <c r="H97" i="4"/>
  <c r="I96" i="4"/>
  <c r="F97" i="4"/>
  <c r="H99" i="4"/>
  <c r="I98" i="4"/>
  <c r="F99" i="4"/>
  <c r="H101" i="4"/>
  <c r="I100" i="4"/>
  <c r="F101" i="4"/>
  <c r="H103" i="4"/>
  <c r="I102" i="4"/>
  <c r="F103" i="4"/>
  <c r="H105" i="4"/>
  <c r="I104" i="4"/>
  <c r="F105" i="4"/>
  <c r="H107" i="4"/>
  <c r="I106" i="4"/>
  <c r="F107" i="4"/>
  <c r="H109" i="4"/>
  <c r="I108" i="4"/>
  <c r="F109" i="4"/>
  <c r="H111" i="4"/>
  <c r="I110" i="4"/>
  <c r="F111" i="4"/>
  <c r="H113" i="4"/>
  <c r="I112" i="4"/>
  <c r="F113" i="4"/>
  <c r="H115" i="4"/>
  <c r="I114" i="4"/>
  <c r="F115" i="4"/>
  <c r="I116" i="4"/>
  <c r="E76" i="4"/>
  <c r="G77" i="4"/>
  <c r="E78" i="4"/>
  <c r="K78" i="4"/>
  <c r="G79" i="4"/>
  <c r="E80" i="4"/>
  <c r="K80" i="4"/>
  <c r="G81" i="4"/>
  <c r="E82" i="4"/>
  <c r="K82" i="4"/>
  <c r="G83" i="4"/>
  <c r="E84" i="4"/>
  <c r="K84" i="4"/>
  <c r="G85" i="4"/>
  <c r="E86" i="4"/>
  <c r="K86" i="4"/>
  <c r="G87" i="4"/>
  <c r="E88" i="4"/>
  <c r="K88" i="4"/>
  <c r="G89" i="4"/>
  <c r="E90" i="4"/>
  <c r="K90" i="4"/>
  <c r="G91" i="4"/>
  <c r="E92" i="4"/>
  <c r="K92" i="4"/>
  <c r="G93" i="4"/>
  <c r="E94" i="4"/>
  <c r="K94" i="4"/>
  <c r="G95" i="4"/>
  <c r="E96" i="4"/>
  <c r="K96" i="4"/>
  <c r="G97" i="4"/>
  <c r="E98" i="4"/>
  <c r="K98" i="4"/>
  <c r="G99" i="4"/>
  <c r="E100" i="4"/>
  <c r="K100" i="4"/>
  <c r="G101" i="4"/>
  <c r="E102" i="4"/>
  <c r="K102" i="4"/>
  <c r="G103" i="4"/>
  <c r="E104" i="4"/>
  <c r="K104" i="4"/>
  <c r="G105" i="4"/>
  <c r="E106" i="4"/>
  <c r="K106" i="4"/>
  <c r="G107" i="4"/>
  <c r="E108" i="4"/>
  <c r="K108" i="4"/>
  <c r="G109" i="4"/>
  <c r="E110" i="4"/>
  <c r="K110" i="4"/>
  <c r="G111" i="4"/>
  <c r="E112" i="4"/>
  <c r="K112" i="4"/>
  <c r="G113" i="4"/>
  <c r="E114" i="4"/>
  <c r="K114" i="4"/>
  <c r="G115" i="4"/>
  <c r="K116" i="4"/>
  <c r="D31" i="8" l="1"/>
  <c r="E18" i="8"/>
  <c r="K18" i="7"/>
  <c r="E30" i="7"/>
  <c r="D31" i="7"/>
  <c r="D31" i="6"/>
  <c r="E30" i="6"/>
  <c r="D30" i="4"/>
  <c r="E29" i="4"/>
  <c r="E29" i="5"/>
  <c r="D30" i="5"/>
  <c r="G18" i="8"/>
  <c r="E19" i="8"/>
  <c r="G18" i="7"/>
  <c r="E19" i="7"/>
  <c r="K18" i="6"/>
  <c r="E20" i="6"/>
  <c r="E19" i="6"/>
  <c r="E17" i="5"/>
  <c r="G17" i="4"/>
  <c r="E17" i="4"/>
  <c r="E31" i="8" l="1"/>
  <c r="D32" i="8"/>
  <c r="K18" i="8"/>
  <c r="K19" i="8"/>
  <c r="E31" i="7"/>
  <c r="D32" i="7"/>
  <c r="K19" i="7"/>
  <c r="E31" i="6"/>
  <c r="D32" i="6"/>
  <c r="D31" i="4"/>
  <c r="E30" i="4"/>
  <c r="D31" i="5"/>
  <c r="E30" i="5"/>
  <c r="E20" i="8"/>
  <c r="E21" i="6"/>
  <c r="K20" i="6"/>
  <c r="K19" i="6"/>
  <c r="E18" i="5"/>
  <c r="K17" i="5"/>
  <c r="K17" i="4"/>
  <c r="E18" i="4"/>
  <c r="E32" i="8" l="1"/>
  <c r="D33" i="8"/>
  <c r="E32" i="7"/>
  <c r="D33" i="7"/>
  <c r="D33" i="6"/>
  <c r="E32" i="6"/>
  <c r="D32" i="4"/>
  <c r="E31" i="4"/>
  <c r="E31" i="5"/>
  <c r="D32" i="5"/>
  <c r="K18" i="4"/>
  <c r="K18" i="5"/>
  <c r="E21" i="8"/>
  <c r="K20" i="8"/>
  <c r="E20" i="7"/>
  <c r="E21" i="7"/>
  <c r="E22" i="6"/>
  <c r="K21" i="6"/>
  <c r="E19" i="5"/>
  <c r="E19" i="4"/>
  <c r="I16" i="3"/>
  <c r="D16" i="3"/>
  <c r="E17" i="3" s="1"/>
  <c r="C117" i="1"/>
  <c r="C116" i="1"/>
  <c r="C115" i="1"/>
  <c r="D116" i="1" s="1"/>
  <c r="C114" i="1"/>
  <c r="D115" i="1" s="1"/>
  <c r="C113" i="1"/>
  <c r="D114" i="1" s="1"/>
  <c r="C112" i="1"/>
  <c r="D113" i="1" s="1"/>
  <c r="C111" i="1"/>
  <c r="D112" i="1" s="1"/>
  <c r="C110" i="1"/>
  <c r="D111" i="1" s="1"/>
  <c r="C109" i="1"/>
  <c r="D110" i="1" s="1"/>
  <c r="C108" i="1"/>
  <c r="D109" i="1" s="1"/>
  <c r="C107" i="1"/>
  <c r="D108" i="1" s="1"/>
  <c r="C106" i="1"/>
  <c r="D107" i="1" s="1"/>
  <c r="C105" i="1"/>
  <c r="D106" i="1" s="1"/>
  <c r="C104" i="1"/>
  <c r="D105" i="1" s="1"/>
  <c r="C103" i="1"/>
  <c r="D104" i="1" s="1"/>
  <c r="C102" i="1"/>
  <c r="D103" i="1" s="1"/>
  <c r="C101" i="1"/>
  <c r="D102" i="1" s="1"/>
  <c r="C100" i="1"/>
  <c r="D101" i="1" s="1"/>
  <c r="C99" i="1"/>
  <c r="D100" i="1" s="1"/>
  <c r="C98" i="1"/>
  <c r="D99" i="1" s="1"/>
  <c r="C97" i="1"/>
  <c r="D98" i="1" s="1"/>
  <c r="C96" i="1"/>
  <c r="D97" i="1" s="1"/>
  <c r="C95" i="1"/>
  <c r="D96" i="1" s="1"/>
  <c r="C94" i="1"/>
  <c r="D95" i="1" s="1"/>
  <c r="C93" i="1"/>
  <c r="D94" i="1" s="1"/>
  <c r="C92" i="1"/>
  <c r="D93" i="1" s="1"/>
  <c r="C91" i="1"/>
  <c r="D92" i="1" s="1"/>
  <c r="C90" i="1"/>
  <c r="D91" i="1" s="1"/>
  <c r="C89" i="1"/>
  <c r="D90" i="1" s="1"/>
  <c r="C88" i="1"/>
  <c r="D89" i="1" s="1"/>
  <c r="C87" i="1"/>
  <c r="D88" i="1" s="1"/>
  <c r="C86" i="1"/>
  <c r="D87" i="1" s="1"/>
  <c r="C85" i="1"/>
  <c r="D86" i="1" s="1"/>
  <c r="C84" i="1"/>
  <c r="D85" i="1" s="1"/>
  <c r="C83" i="1"/>
  <c r="D84" i="1" s="1"/>
  <c r="C82" i="1"/>
  <c r="D83" i="1" s="1"/>
  <c r="C81" i="1"/>
  <c r="D82" i="1" s="1"/>
  <c r="C80" i="1"/>
  <c r="D81" i="1" s="1"/>
  <c r="C79" i="1"/>
  <c r="D80" i="1" s="1"/>
  <c r="C78" i="1"/>
  <c r="D79" i="1" s="1"/>
  <c r="C77" i="1"/>
  <c r="D78" i="1" s="1"/>
  <c r="C76" i="1"/>
  <c r="D77" i="1" s="1"/>
  <c r="C75" i="1"/>
  <c r="D76" i="1" s="1"/>
  <c r="C74" i="1"/>
  <c r="D75" i="1" s="1"/>
  <c r="C73" i="1"/>
  <c r="D74" i="1" s="1"/>
  <c r="C72" i="1"/>
  <c r="D73" i="1" s="1"/>
  <c r="C71" i="1"/>
  <c r="D72" i="1" s="1"/>
  <c r="C70" i="1"/>
  <c r="D71" i="1" s="1"/>
  <c r="C69" i="1"/>
  <c r="D70" i="1" s="1"/>
  <c r="C68" i="1"/>
  <c r="D69" i="1" s="1"/>
  <c r="C67" i="1"/>
  <c r="D68" i="1" s="1"/>
  <c r="C66" i="1"/>
  <c r="D67" i="1" s="1"/>
  <c r="C65" i="1"/>
  <c r="D66" i="1" s="1"/>
  <c r="C64" i="1"/>
  <c r="D65" i="1" s="1"/>
  <c r="C63" i="1"/>
  <c r="D64" i="1" s="1"/>
  <c r="C62" i="1"/>
  <c r="C61" i="1"/>
  <c r="D62" i="1" s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I17" i="1"/>
  <c r="K14" i="1"/>
  <c r="K13" i="1"/>
  <c r="K12" i="1"/>
  <c r="D17" i="1"/>
  <c r="D18" i="1" s="1"/>
  <c r="K11" i="1"/>
  <c r="D19" i="1" l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3" i="1" s="1"/>
  <c r="E33" i="8"/>
  <c r="D34" i="8"/>
  <c r="E33" i="7"/>
  <c r="D34" i="7"/>
  <c r="K20" i="7"/>
  <c r="E33" i="6"/>
  <c r="D34" i="6"/>
  <c r="D33" i="4"/>
  <c r="E33" i="4" s="1"/>
  <c r="E32" i="4"/>
  <c r="E32" i="5"/>
  <c r="D33" i="5"/>
  <c r="E22" i="8"/>
  <c r="K21" i="8"/>
  <c r="K21" i="7"/>
  <c r="E22" i="7"/>
  <c r="K22" i="7" s="1"/>
  <c r="E23" i="6"/>
  <c r="K22" i="6"/>
  <c r="E20" i="5"/>
  <c r="K20" i="5" s="1"/>
  <c r="K19" i="5"/>
  <c r="K19" i="4"/>
  <c r="E20" i="4"/>
  <c r="K20" i="4" s="1"/>
  <c r="F13" i="1"/>
  <c r="F14" i="1" s="1"/>
  <c r="F13" i="3"/>
  <c r="G17" i="3" s="1"/>
  <c r="G18" i="3" s="1"/>
  <c r="F17" i="3"/>
  <c r="D35" i="8" l="1"/>
  <c r="E34" i="8"/>
  <c r="D35" i="7"/>
  <c r="E34" i="7"/>
  <c r="D35" i="6"/>
  <c r="E34" i="6"/>
  <c r="D34" i="4"/>
  <c r="E34" i="4" s="1"/>
  <c r="K23" i="6"/>
  <c r="D34" i="5"/>
  <c r="E33" i="5"/>
  <c r="K22" i="8"/>
  <c r="E23" i="8"/>
  <c r="E23" i="7"/>
  <c r="E24" i="6"/>
  <c r="E21" i="5"/>
  <c r="E21" i="4"/>
  <c r="G18" i="1"/>
  <c r="H17" i="3"/>
  <c r="H18" i="3" s="1"/>
  <c r="F18" i="3"/>
  <c r="I17" i="3"/>
  <c r="E18" i="1"/>
  <c r="K23" i="8" l="1"/>
  <c r="E35" i="8"/>
  <c r="D36" i="8"/>
  <c r="D35" i="4"/>
  <c r="D36" i="4" s="1"/>
  <c r="D36" i="7"/>
  <c r="E35" i="7"/>
  <c r="E35" i="6"/>
  <c r="D36" i="6"/>
  <c r="K24" i="6"/>
  <c r="K21" i="4"/>
  <c r="E34" i="5"/>
  <c r="D35" i="5"/>
  <c r="E24" i="8"/>
  <c r="K24" i="8" s="1"/>
  <c r="E24" i="7"/>
  <c r="K24" i="7" s="1"/>
  <c r="K23" i="7"/>
  <c r="E25" i="6"/>
  <c r="K25" i="6" s="1"/>
  <c r="E22" i="5"/>
  <c r="K21" i="5"/>
  <c r="E22" i="4"/>
  <c r="E19" i="1"/>
  <c r="K18" i="1"/>
  <c r="D37" i="8" l="1"/>
  <c r="E36" i="8"/>
  <c r="E35" i="4"/>
  <c r="E36" i="7"/>
  <c r="D37" i="7"/>
  <c r="E36" i="6"/>
  <c r="D37" i="6"/>
  <c r="E36" i="4"/>
  <c r="D37" i="4"/>
  <c r="E35" i="5"/>
  <c r="D36" i="5"/>
  <c r="K22" i="5"/>
  <c r="E25" i="8"/>
  <c r="E25" i="7"/>
  <c r="E26" i="6"/>
  <c r="K26" i="6" s="1"/>
  <c r="E23" i="5"/>
  <c r="E23" i="4"/>
  <c r="K22" i="4"/>
  <c r="E59" i="1"/>
  <c r="E60" i="1"/>
  <c r="E20" i="1"/>
  <c r="K19" i="1"/>
  <c r="E21" i="1"/>
  <c r="K25" i="8" l="1"/>
  <c r="E37" i="8"/>
  <c r="D38" i="8"/>
  <c r="K25" i="7"/>
  <c r="D38" i="7"/>
  <c r="E37" i="7"/>
  <c r="E37" i="6"/>
  <c r="D38" i="6"/>
  <c r="K23" i="4"/>
  <c r="D38" i="4"/>
  <c r="E37" i="4"/>
  <c r="E36" i="5"/>
  <c r="D37" i="5"/>
  <c r="E26" i="8"/>
  <c r="K26" i="8" s="1"/>
  <c r="E26" i="7"/>
  <c r="K26" i="7" s="1"/>
  <c r="E27" i="6"/>
  <c r="K27" i="6" s="1"/>
  <c r="K23" i="5"/>
  <c r="E24" i="5"/>
  <c r="E24" i="4"/>
  <c r="K24" i="4" s="1"/>
  <c r="E61" i="1"/>
  <c r="K20" i="1"/>
  <c r="E22" i="1"/>
  <c r="K21" i="1"/>
  <c r="D39" i="8" l="1"/>
  <c r="E38" i="8"/>
  <c r="E38" i="7"/>
  <c r="D39" i="7"/>
  <c r="D39" i="6"/>
  <c r="E38" i="6"/>
  <c r="E38" i="4"/>
  <c r="D39" i="4"/>
  <c r="K24" i="5"/>
  <c r="E37" i="5"/>
  <c r="D38" i="5"/>
  <c r="E27" i="8"/>
  <c r="K27" i="8" s="1"/>
  <c r="E27" i="7"/>
  <c r="K27" i="7" s="1"/>
  <c r="E28" i="6"/>
  <c r="K28" i="6" s="1"/>
  <c r="E25" i="5"/>
  <c r="K25" i="5" s="1"/>
  <c r="E25" i="4"/>
  <c r="K25" i="4" s="1"/>
  <c r="E62" i="1"/>
  <c r="K22" i="1"/>
  <c r="D40" i="8" l="1"/>
  <c r="E39" i="8"/>
  <c r="E39" i="7"/>
  <c r="D40" i="7"/>
  <c r="D40" i="6"/>
  <c r="E39" i="6"/>
  <c r="E39" i="4"/>
  <c r="D40" i="4"/>
  <c r="D39" i="5"/>
  <c r="E38" i="5"/>
  <c r="E28" i="8"/>
  <c r="K28" i="8" s="1"/>
  <c r="E28" i="7"/>
  <c r="K28" i="7" s="1"/>
  <c r="E29" i="6"/>
  <c r="E26" i="5"/>
  <c r="K26" i="5" s="1"/>
  <c r="E26" i="4"/>
  <c r="K26" i="4" s="1"/>
  <c r="E63" i="1"/>
  <c r="E23" i="1"/>
  <c r="D41" i="8" l="1"/>
  <c r="E40" i="8"/>
  <c r="E40" i="7"/>
  <c r="D41" i="7"/>
  <c r="K31" i="6"/>
  <c r="K32" i="6"/>
  <c r="K34" i="6"/>
  <c r="K33" i="6"/>
  <c r="K37" i="6"/>
  <c r="K36" i="6"/>
  <c r="K38" i="6"/>
  <c r="K39" i="6"/>
  <c r="K35" i="6"/>
  <c r="E40" i="6"/>
  <c r="K40" i="6" s="1"/>
  <c r="D41" i="6"/>
  <c r="E40" i="4"/>
  <c r="D41" i="4"/>
  <c r="E39" i="5"/>
  <c r="D40" i="5"/>
  <c r="E29" i="8"/>
  <c r="K36" i="8" s="1"/>
  <c r="E29" i="7"/>
  <c r="K29" i="6"/>
  <c r="K30" i="6" s="1"/>
  <c r="E27" i="5"/>
  <c r="K27" i="5" s="1"/>
  <c r="E27" i="4"/>
  <c r="E64" i="1"/>
  <c r="K23" i="1"/>
  <c r="E24" i="1"/>
  <c r="K24" i="1" s="1"/>
  <c r="E25" i="1"/>
  <c r="K38" i="8" l="1"/>
  <c r="K40" i="8"/>
  <c r="E41" i="8"/>
  <c r="K41" i="8" s="1"/>
  <c r="D42" i="8"/>
  <c r="K35" i="8"/>
  <c r="K34" i="8"/>
  <c r="K32" i="8"/>
  <c r="K31" i="8"/>
  <c r="K33" i="8"/>
  <c r="K37" i="8"/>
  <c r="K39" i="8"/>
  <c r="K34" i="7"/>
  <c r="K31" i="7"/>
  <c r="K36" i="7"/>
  <c r="K32" i="7"/>
  <c r="K33" i="7"/>
  <c r="K35" i="7"/>
  <c r="D42" i="7"/>
  <c r="E41" i="7"/>
  <c r="K41" i="7" s="1"/>
  <c r="K39" i="7"/>
  <c r="K40" i="7"/>
  <c r="K37" i="7"/>
  <c r="K38" i="7"/>
  <c r="E41" i="6"/>
  <c r="D42" i="6"/>
  <c r="D42" i="4"/>
  <c r="E41" i="4"/>
  <c r="K27" i="4"/>
  <c r="E40" i="5"/>
  <c r="D41" i="5"/>
  <c r="K29" i="8"/>
  <c r="K30" i="8" s="1"/>
  <c r="K29" i="7"/>
  <c r="K30" i="7" s="1"/>
  <c r="E28" i="5"/>
  <c r="K38" i="5" s="1"/>
  <c r="E28" i="4"/>
  <c r="E66" i="1"/>
  <c r="E65" i="1"/>
  <c r="E26" i="1"/>
  <c r="K25" i="1"/>
  <c r="E42" i="8" l="1"/>
  <c r="D43" i="8"/>
  <c r="D43" i="7"/>
  <c r="E42" i="7"/>
  <c r="D43" i="6"/>
  <c r="E42" i="6"/>
  <c r="K42" i="6" s="1"/>
  <c r="K41" i="6"/>
  <c r="K30" i="4"/>
  <c r="K33" i="4"/>
  <c r="K34" i="4"/>
  <c r="K32" i="4"/>
  <c r="K31" i="4"/>
  <c r="K36" i="4"/>
  <c r="K35" i="4"/>
  <c r="K38" i="4"/>
  <c r="K40" i="4"/>
  <c r="K41" i="4"/>
  <c r="K39" i="4"/>
  <c r="E42" i="4"/>
  <c r="K42" i="4" s="1"/>
  <c r="D43" i="4"/>
  <c r="K37" i="4"/>
  <c r="K40" i="5"/>
  <c r="K37" i="5"/>
  <c r="K32" i="5"/>
  <c r="K31" i="5"/>
  <c r="K35" i="5"/>
  <c r="K33" i="5"/>
  <c r="K30" i="5"/>
  <c r="K34" i="5"/>
  <c r="K36" i="5"/>
  <c r="E41" i="5"/>
  <c r="K41" i="5" s="1"/>
  <c r="D42" i="5"/>
  <c r="K39" i="5"/>
  <c r="K28" i="5"/>
  <c r="K29" i="5" s="1"/>
  <c r="K28" i="4"/>
  <c r="K29" i="4" s="1"/>
  <c r="E67" i="1"/>
  <c r="K26" i="1"/>
  <c r="E27" i="1"/>
  <c r="K27" i="1" s="1"/>
  <c r="D44" i="8" l="1"/>
  <c r="E43" i="8"/>
  <c r="K43" i="8" s="1"/>
  <c r="K42" i="8"/>
  <c r="K42" i="7"/>
  <c r="D44" i="7"/>
  <c r="E43" i="7"/>
  <c r="K43" i="7" s="1"/>
  <c r="E43" i="6"/>
  <c r="D44" i="6"/>
  <c r="D44" i="4"/>
  <c r="E43" i="4"/>
  <c r="E42" i="5"/>
  <c r="D43" i="5"/>
  <c r="E68" i="1"/>
  <c r="E28" i="1"/>
  <c r="K28" i="1" s="1"/>
  <c r="E44" i="8" l="1"/>
  <c r="D45" i="8"/>
  <c r="D45" i="7"/>
  <c r="E44" i="7"/>
  <c r="D45" i="6"/>
  <c r="E44" i="6"/>
  <c r="K44" i="6" s="1"/>
  <c r="K43" i="6"/>
  <c r="D45" i="4"/>
  <c r="E44" i="4"/>
  <c r="K44" i="4" s="1"/>
  <c r="K43" i="4"/>
  <c r="E43" i="5"/>
  <c r="K43" i="5" s="1"/>
  <c r="D44" i="5"/>
  <c r="K42" i="5"/>
  <c r="E69" i="1"/>
  <c r="E45" i="8" l="1"/>
  <c r="K45" i="8" s="1"/>
  <c r="D46" i="8"/>
  <c r="K44" i="8"/>
  <c r="K44" i="7"/>
  <c r="E45" i="7"/>
  <c r="K45" i="7" s="1"/>
  <c r="D46" i="7"/>
  <c r="D46" i="6"/>
  <c r="E45" i="6"/>
  <c r="E45" i="4"/>
  <c r="D46" i="4"/>
  <c r="E44" i="5"/>
  <c r="D45" i="5"/>
  <c r="E70" i="1"/>
  <c r="E30" i="1"/>
  <c r="E29" i="1"/>
  <c r="E31" i="1"/>
  <c r="D47" i="8" l="1"/>
  <c r="E46" i="8"/>
  <c r="D47" i="7"/>
  <c r="E46" i="7"/>
  <c r="K46" i="7" s="1"/>
  <c r="K45" i="6"/>
  <c r="D47" i="6"/>
  <c r="E46" i="6"/>
  <c r="K46" i="6" s="1"/>
  <c r="E46" i="4"/>
  <c r="K46" i="4" s="1"/>
  <c r="D47" i="4"/>
  <c r="K45" i="4"/>
  <c r="E45" i="5"/>
  <c r="K45" i="5" s="1"/>
  <c r="D46" i="5"/>
  <c r="K44" i="5"/>
  <c r="E71" i="1"/>
  <c r="K29" i="1"/>
  <c r="K30" i="1" s="1"/>
  <c r="K31" i="1"/>
  <c r="E32" i="1"/>
  <c r="K46" i="8" l="1"/>
  <c r="D48" i="8"/>
  <c r="E47" i="8"/>
  <c r="K47" i="8" s="1"/>
  <c r="D48" i="7"/>
  <c r="E47" i="7"/>
  <c r="K47" i="7" s="1"/>
  <c r="E47" i="6"/>
  <c r="K47" i="6" s="1"/>
  <c r="D48" i="6"/>
  <c r="E47" i="4"/>
  <c r="D48" i="4"/>
  <c r="D47" i="5"/>
  <c r="E46" i="5"/>
  <c r="E72" i="1"/>
  <c r="K32" i="1"/>
  <c r="E33" i="1"/>
  <c r="K33" i="1" s="1"/>
  <c r="E48" i="8" l="1"/>
  <c r="K48" i="8" s="1"/>
  <c r="D49" i="8"/>
  <c r="E48" i="7"/>
  <c r="D49" i="7"/>
  <c r="D49" i="6"/>
  <c r="E48" i="6"/>
  <c r="E48" i="4"/>
  <c r="K48" i="4" s="1"/>
  <c r="D49" i="4"/>
  <c r="K47" i="4"/>
  <c r="K46" i="5"/>
  <c r="E47" i="5"/>
  <c r="K47" i="5" s="1"/>
  <c r="D48" i="5"/>
  <c r="E73" i="1"/>
  <c r="E34" i="1"/>
  <c r="E49" i="8" l="1"/>
  <c r="K49" i="8" s="1"/>
  <c r="D50" i="8"/>
  <c r="D50" i="7"/>
  <c r="E49" i="7"/>
  <c r="K49" i="7" s="1"/>
  <c r="K48" i="7"/>
  <c r="K48" i="6"/>
  <c r="E49" i="6"/>
  <c r="K49" i="6" s="1"/>
  <c r="D50" i="6"/>
  <c r="E49" i="4"/>
  <c r="D50" i="4"/>
  <c r="D49" i="5"/>
  <c r="E48" i="5"/>
  <c r="K48" i="5" s="1"/>
  <c r="E74" i="1"/>
  <c r="E35" i="1"/>
  <c r="K35" i="1" s="1"/>
  <c r="K34" i="1"/>
  <c r="D51" i="8" l="1"/>
  <c r="E50" i="8"/>
  <c r="K50" i="8" s="1"/>
  <c r="D51" i="7"/>
  <c r="E50" i="7"/>
  <c r="K50" i="7" s="1"/>
  <c r="D51" i="6"/>
  <c r="E50" i="6"/>
  <c r="K50" i="6" s="1"/>
  <c r="E50" i="4"/>
  <c r="K50" i="4" s="1"/>
  <c r="D51" i="4"/>
  <c r="K49" i="4"/>
  <c r="E49" i="5"/>
  <c r="D50" i="5"/>
  <c r="E75" i="1"/>
  <c r="E36" i="1"/>
  <c r="K36" i="1" s="1"/>
  <c r="D52" i="8" l="1"/>
  <c r="E51" i="8"/>
  <c r="K51" i="8" s="1"/>
  <c r="E51" i="7"/>
  <c r="K51" i="7" s="1"/>
  <c r="D52" i="7"/>
  <c r="E51" i="6"/>
  <c r="K51" i="6" s="1"/>
  <c r="D52" i="6"/>
  <c r="E51" i="4"/>
  <c r="D52" i="4"/>
  <c r="D53" i="4" s="1"/>
  <c r="D51" i="5"/>
  <c r="E50" i="5"/>
  <c r="K50" i="5" s="1"/>
  <c r="K49" i="5"/>
  <c r="E76" i="1"/>
  <c r="E37" i="1"/>
  <c r="D53" i="8" l="1"/>
  <c r="E52" i="8"/>
  <c r="K52" i="8" s="1"/>
  <c r="D53" i="7"/>
  <c r="E52" i="7"/>
  <c r="K52" i="7" s="1"/>
  <c r="D53" i="6"/>
  <c r="E52" i="6"/>
  <c r="K52" i="6" s="1"/>
  <c r="E53" i="4"/>
  <c r="D54" i="4"/>
  <c r="E52" i="4"/>
  <c r="K52" i="4" s="1"/>
  <c r="K51" i="4"/>
  <c r="E51" i="5"/>
  <c r="K51" i="5" s="1"/>
  <c r="D52" i="5"/>
  <c r="E77" i="1"/>
  <c r="K37" i="1"/>
  <c r="E38" i="1"/>
  <c r="K53" i="4" l="1"/>
  <c r="D54" i="8"/>
  <c r="E53" i="8"/>
  <c r="K53" i="8" s="1"/>
  <c r="E53" i="7"/>
  <c r="K53" i="7" s="1"/>
  <c r="D54" i="7"/>
  <c r="E53" i="6"/>
  <c r="K53" i="6" s="1"/>
  <c r="D54" i="6"/>
  <c r="E54" i="4"/>
  <c r="K54" i="4" s="1"/>
  <c r="D55" i="4"/>
  <c r="D53" i="5"/>
  <c r="D54" i="5" s="1"/>
  <c r="E52" i="5"/>
  <c r="K52" i="5" s="1"/>
  <c r="K38" i="1"/>
  <c r="E78" i="1"/>
  <c r="E39" i="1"/>
  <c r="K39" i="1" s="1"/>
  <c r="D55" i="8" l="1"/>
  <c r="E54" i="8"/>
  <c r="K54" i="8" s="1"/>
  <c r="D55" i="7"/>
  <c r="E54" i="7"/>
  <c r="K54" i="7" s="1"/>
  <c r="E54" i="6"/>
  <c r="K54" i="6" s="1"/>
  <c r="D55" i="6"/>
  <c r="E55" i="4"/>
  <c r="D56" i="4"/>
  <c r="E54" i="5"/>
  <c r="D55" i="5"/>
  <c r="E53" i="5"/>
  <c r="E79" i="1"/>
  <c r="E40" i="1"/>
  <c r="E55" i="8" l="1"/>
  <c r="K55" i="8" s="1"/>
  <c r="D56" i="8"/>
  <c r="D56" i="7"/>
  <c r="E55" i="7"/>
  <c r="K55" i="7" s="1"/>
  <c r="D56" i="6"/>
  <c r="E55" i="6"/>
  <c r="K55" i="6" s="1"/>
  <c r="E56" i="4"/>
  <c r="K56" i="4" s="1"/>
  <c r="D57" i="4"/>
  <c r="K55" i="4"/>
  <c r="D56" i="5"/>
  <c r="E55" i="5"/>
  <c r="K55" i="5" s="1"/>
  <c r="K53" i="5"/>
  <c r="K54" i="5" s="1"/>
  <c r="K40" i="1"/>
  <c r="E80" i="1"/>
  <c r="E41" i="1"/>
  <c r="D57" i="8" l="1"/>
  <c r="E56" i="8"/>
  <c r="K56" i="8" s="1"/>
  <c r="D57" i="7"/>
  <c r="E56" i="7"/>
  <c r="K56" i="7" s="1"/>
  <c r="E56" i="6"/>
  <c r="K56" i="6" s="1"/>
  <c r="D57" i="6"/>
  <c r="E57" i="4"/>
  <c r="D58" i="4"/>
  <c r="D57" i="5"/>
  <c r="E56" i="5"/>
  <c r="E81" i="1"/>
  <c r="K41" i="1"/>
  <c r="E42" i="1"/>
  <c r="D58" i="8" l="1"/>
  <c r="E57" i="8"/>
  <c r="K57" i="8" s="1"/>
  <c r="E57" i="7"/>
  <c r="K57" i="7" s="1"/>
  <c r="D58" i="7"/>
  <c r="E57" i="6"/>
  <c r="K57" i="6" s="1"/>
  <c r="D58" i="6"/>
  <c r="E58" i="4"/>
  <c r="K58" i="4" s="1"/>
  <c r="D59" i="4"/>
  <c r="K57" i="4"/>
  <c r="K56" i="5"/>
  <c r="E57" i="5"/>
  <c r="K57" i="5" s="1"/>
  <c r="D58" i="5"/>
  <c r="K42" i="1"/>
  <c r="E82" i="1"/>
  <c r="E43" i="1"/>
  <c r="K43" i="1" s="1"/>
  <c r="D59" i="8" l="1"/>
  <c r="E58" i="8"/>
  <c r="K58" i="8" s="1"/>
  <c r="D59" i="7"/>
  <c r="E58" i="7"/>
  <c r="K58" i="7" s="1"/>
  <c r="E58" i="6"/>
  <c r="K58" i="6" s="1"/>
  <c r="D59" i="6"/>
  <c r="E59" i="4"/>
  <c r="D60" i="4"/>
  <c r="D61" i="4" s="1"/>
  <c r="E58" i="5"/>
  <c r="K58" i="5" s="1"/>
  <c r="D59" i="5"/>
  <c r="E83" i="1"/>
  <c r="E44" i="1"/>
  <c r="K44" i="1" s="1"/>
  <c r="E61" i="4" l="1"/>
  <c r="D62" i="4"/>
  <c r="D60" i="8"/>
  <c r="E59" i="8"/>
  <c r="K59" i="8" s="1"/>
  <c r="D60" i="7"/>
  <c r="E59" i="7"/>
  <c r="K59" i="7" s="1"/>
  <c r="E59" i="6"/>
  <c r="K59" i="6" s="1"/>
  <c r="D60" i="6"/>
  <c r="E60" i="4"/>
  <c r="K60" i="4" s="1"/>
  <c r="K59" i="4"/>
  <c r="D60" i="5"/>
  <c r="E59" i="5"/>
  <c r="E84" i="1"/>
  <c r="E45" i="1"/>
  <c r="K45" i="1" s="1"/>
  <c r="E62" i="4" l="1"/>
  <c r="D63" i="4"/>
  <c r="E63" i="4" s="1"/>
  <c r="C5" i="4" s="1"/>
  <c r="E60" i="8"/>
  <c r="K60" i="8" s="1"/>
  <c r="D61" i="8"/>
  <c r="D62" i="8" s="1"/>
  <c r="D61" i="7"/>
  <c r="D62" i="7" s="1"/>
  <c r="E60" i="7"/>
  <c r="K60" i="7" s="1"/>
  <c r="E60" i="6"/>
  <c r="K60" i="6" s="1"/>
  <c r="D61" i="6"/>
  <c r="D62" i="6" s="1"/>
  <c r="E62" i="6" s="1"/>
  <c r="K61" i="4"/>
  <c r="K62" i="4" s="1"/>
  <c r="K59" i="5"/>
  <c r="D61" i="5"/>
  <c r="E60" i="5"/>
  <c r="K60" i="5" s="1"/>
  <c r="E85" i="1"/>
  <c r="E46" i="1"/>
  <c r="K46" i="1" s="1"/>
  <c r="K63" i="4" l="1"/>
  <c r="K64" i="4" s="1"/>
  <c r="C6" i="4"/>
  <c r="E62" i="8"/>
  <c r="D63" i="8"/>
  <c r="E63" i="8" s="1"/>
  <c r="E61" i="8"/>
  <c r="E62" i="7"/>
  <c r="D63" i="7"/>
  <c r="E61" i="7"/>
  <c r="E61" i="6"/>
  <c r="C6" i="6" s="1"/>
  <c r="H56" i="4"/>
  <c r="H58" i="4"/>
  <c r="H55" i="4"/>
  <c r="H59" i="4"/>
  <c r="H54" i="4"/>
  <c r="H57" i="4"/>
  <c r="H38" i="4"/>
  <c r="H45" i="4"/>
  <c r="H35" i="4"/>
  <c r="H43" i="4"/>
  <c r="H47" i="4"/>
  <c r="H42" i="4"/>
  <c r="H30" i="4"/>
  <c r="H49" i="4"/>
  <c r="H34" i="4"/>
  <c r="H21" i="4"/>
  <c r="H33" i="4"/>
  <c r="H40" i="4"/>
  <c r="H41" i="4"/>
  <c r="H37" i="4"/>
  <c r="H24" i="4"/>
  <c r="H44" i="4"/>
  <c r="H46" i="4"/>
  <c r="H25" i="4"/>
  <c r="H20" i="4"/>
  <c r="H19" i="4"/>
  <c r="H27" i="4"/>
  <c r="H32" i="4"/>
  <c r="H23" i="4"/>
  <c r="H48" i="4"/>
  <c r="H31" i="4"/>
  <c r="H36" i="4"/>
  <c r="H51" i="4"/>
  <c r="H22" i="4"/>
  <c r="H50" i="4"/>
  <c r="H26" i="4"/>
  <c r="H39" i="4"/>
  <c r="D62" i="5"/>
  <c r="D63" i="5" s="1"/>
  <c r="E61" i="5"/>
  <c r="K61" i="5" s="1"/>
  <c r="E86" i="1"/>
  <c r="E47" i="1"/>
  <c r="K47" i="1" s="1"/>
  <c r="C6" i="8" l="1"/>
  <c r="C7" i="8" s="1"/>
  <c r="E63" i="5"/>
  <c r="D64" i="5"/>
  <c r="K61" i="8"/>
  <c r="K62" i="8" s="1"/>
  <c r="K63" i="8" s="1"/>
  <c r="K64" i="8" s="1"/>
  <c r="D64" i="7"/>
  <c r="E63" i="7"/>
  <c r="K61" i="7"/>
  <c r="K62" i="7" s="1"/>
  <c r="K63" i="7" s="1"/>
  <c r="K61" i="6"/>
  <c r="K62" i="6" s="1"/>
  <c r="K63" i="6" s="1"/>
  <c r="C7" i="6"/>
  <c r="E62" i="5"/>
  <c r="E87" i="1"/>
  <c r="E48" i="1"/>
  <c r="K48" i="1" s="1"/>
  <c r="E64" i="5" l="1"/>
  <c r="K64" i="5" s="1"/>
  <c r="H54" i="8"/>
  <c r="H46" i="8"/>
  <c r="H49" i="8"/>
  <c r="H52" i="8"/>
  <c r="H55" i="8"/>
  <c r="H32" i="8"/>
  <c r="H59" i="8"/>
  <c r="H51" i="8"/>
  <c r="H34" i="8"/>
  <c r="H40" i="8"/>
  <c r="H42" i="8"/>
  <c r="H60" i="8"/>
  <c r="H45" i="8"/>
  <c r="H44" i="8"/>
  <c r="H39" i="8"/>
  <c r="H57" i="8"/>
  <c r="H50" i="8"/>
  <c r="H41" i="8"/>
  <c r="H43" i="8"/>
  <c r="H36" i="8"/>
  <c r="H56" i="8"/>
  <c r="H38" i="8"/>
  <c r="H47" i="8"/>
  <c r="H58" i="8"/>
  <c r="H37" i="8"/>
  <c r="H33" i="8"/>
  <c r="H48" i="8"/>
  <c r="H31" i="8"/>
  <c r="H35" i="8"/>
  <c r="H53" i="8"/>
  <c r="H26" i="8"/>
  <c r="H22" i="8"/>
  <c r="H21" i="8"/>
  <c r="H25" i="8"/>
  <c r="H24" i="8"/>
  <c r="H23" i="8"/>
  <c r="H20" i="8"/>
  <c r="H28" i="8"/>
  <c r="H27" i="8"/>
  <c r="E64" i="7"/>
  <c r="H37" i="6"/>
  <c r="H58" i="6"/>
  <c r="H56" i="6"/>
  <c r="H50" i="6"/>
  <c r="H48" i="6"/>
  <c r="H47" i="6"/>
  <c r="H46" i="6"/>
  <c r="H55" i="6"/>
  <c r="H42" i="6"/>
  <c r="H41" i="6"/>
  <c r="H39" i="6"/>
  <c r="H43" i="6"/>
  <c r="H36" i="6"/>
  <c r="H53" i="6"/>
  <c r="H40" i="6"/>
  <c r="H60" i="6"/>
  <c r="H45" i="6"/>
  <c r="H38" i="6"/>
  <c r="H33" i="6"/>
  <c r="H31" i="6"/>
  <c r="H54" i="6"/>
  <c r="H57" i="6"/>
  <c r="H35" i="6"/>
  <c r="H44" i="6"/>
  <c r="H32" i="6"/>
  <c r="H34" i="6"/>
  <c r="H51" i="6"/>
  <c r="H49" i="6"/>
  <c r="H59" i="6"/>
  <c r="H52" i="6"/>
  <c r="H22" i="6"/>
  <c r="H25" i="6"/>
  <c r="H27" i="6"/>
  <c r="H28" i="6"/>
  <c r="H24" i="6"/>
  <c r="H26" i="6"/>
  <c r="H21" i="6"/>
  <c r="H23" i="6"/>
  <c r="H20" i="6"/>
  <c r="K62" i="5"/>
  <c r="K63" i="5" s="1"/>
  <c r="E88" i="1"/>
  <c r="E49" i="1"/>
  <c r="K49" i="1" s="1"/>
  <c r="C5" i="5" l="1"/>
  <c r="C6" i="5" s="1"/>
  <c r="K65" i="5"/>
  <c r="C6" i="7"/>
  <c r="C7" i="7" s="1"/>
  <c r="K64" i="7"/>
  <c r="K65" i="7" s="1"/>
  <c r="H59" i="5"/>
  <c r="H57" i="5"/>
  <c r="H58" i="5"/>
  <c r="H55" i="5"/>
  <c r="H56" i="5"/>
  <c r="H46" i="5"/>
  <c r="H51" i="5"/>
  <c r="H43" i="5"/>
  <c r="H22" i="5"/>
  <c r="H40" i="5"/>
  <c r="H33" i="5"/>
  <c r="H41" i="5"/>
  <c r="H36" i="5"/>
  <c r="H24" i="5"/>
  <c r="H30" i="5"/>
  <c r="H45" i="5"/>
  <c r="H50" i="5"/>
  <c r="H39" i="5"/>
  <c r="H48" i="5"/>
  <c r="H35" i="5"/>
  <c r="H26" i="5"/>
  <c r="H23" i="5"/>
  <c r="H32" i="5"/>
  <c r="H37" i="5"/>
  <c r="H38" i="5"/>
  <c r="H52" i="5"/>
  <c r="H34" i="5"/>
  <c r="H21" i="5"/>
  <c r="H19" i="5"/>
  <c r="H20" i="5"/>
  <c r="H49" i="5"/>
  <c r="H25" i="5"/>
  <c r="H27" i="5"/>
  <c r="H42" i="5"/>
  <c r="H31" i="5"/>
  <c r="H47" i="5"/>
  <c r="H44" i="5"/>
  <c r="E89" i="1"/>
  <c r="E50" i="1"/>
  <c r="H49" i="7" l="1"/>
  <c r="H59" i="7"/>
  <c r="H40" i="7"/>
  <c r="H41" i="7"/>
  <c r="H51" i="7"/>
  <c r="H48" i="7"/>
  <c r="H37" i="7"/>
  <c r="H20" i="7"/>
  <c r="H28" i="7"/>
  <c r="H24" i="7"/>
  <c r="H33" i="7"/>
  <c r="H60" i="7"/>
  <c r="H55" i="7"/>
  <c r="H36" i="7"/>
  <c r="H50" i="7"/>
  <c r="H53" i="7"/>
  <c r="H58" i="7"/>
  <c r="H26" i="7"/>
  <c r="H22" i="7"/>
  <c r="H23" i="7"/>
  <c r="H43" i="7"/>
  <c r="H44" i="7"/>
  <c r="H38" i="7"/>
  <c r="H31" i="7"/>
  <c r="H56" i="7"/>
  <c r="H42" i="7"/>
  <c r="H46" i="7"/>
  <c r="H45" i="7"/>
  <c r="H27" i="7"/>
  <c r="H39" i="7"/>
  <c r="H34" i="7"/>
  <c r="H57" i="7"/>
  <c r="H47" i="7"/>
  <c r="H35" i="7"/>
  <c r="H54" i="7"/>
  <c r="H52" i="7"/>
  <c r="H32" i="7"/>
  <c r="H21" i="7"/>
  <c r="H25" i="7"/>
  <c r="E90" i="1"/>
  <c r="K50" i="1"/>
  <c r="E51" i="1"/>
  <c r="K51" i="1" s="1"/>
  <c r="E91" i="1" l="1"/>
  <c r="E52" i="1"/>
  <c r="K52" i="1" s="1"/>
  <c r="E92" i="1" l="1"/>
  <c r="E54" i="1"/>
  <c r="E53" i="1"/>
  <c r="E93" i="1" l="1"/>
  <c r="E55" i="1"/>
  <c r="K53" i="1"/>
  <c r="K54" i="1" s="1"/>
  <c r="K55" i="1" l="1"/>
  <c r="E94" i="1"/>
  <c r="E56" i="1"/>
  <c r="E95" i="1" l="1"/>
  <c r="E57" i="1"/>
  <c r="K57" i="1" s="1"/>
  <c r="K56" i="1"/>
  <c r="E96" i="1" l="1"/>
  <c r="E58" i="1"/>
  <c r="K96" i="1" l="1"/>
  <c r="E97" i="1"/>
  <c r="K97" i="1" s="1"/>
  <c r="K68" i="1"/>
  <c r="K67" i="1"/>
  <c r="K69" i="1"/>
  <c r="K70" i="1"/>
  <c r="K72" i="1"/>
  <c r="K71" i="1"/>
  <c r="K74" i="1"/>
  <c r="K73" i="1"/>
  <c r="K78" i="1"/>
  <c r="K76" i="1"/>
  <c r="K77" i="1"/>
  <c r="K79" i="1"/>
  <c r="K75" i="1"/>
  <c r="K80" i="1"/>
  <c r="K81" i="1"/>
  <c r="K82" i="1"/>
  <c r="K83" i="1"/>
  <c r="K84" i="1"/>
  <c r="K86" i="1"/>
  <c r="K85" i="1"/>
  <c r="K87" i="1"/>
  <c r="K88" i="1"/>
  <c r="K89" i="1"/>
  <c r="K90" i="1"/>
  <c r="K92" i="1"/>
  <c r="K91" i="1"/>
  <c r="K93" i="1"/>
  <c r="K94" i="1"/>
  <c r="K95" i="1"/>
  <c r="K60" i="1"/>
  <c r="K58" i="1"/>
  <c r="K59" i="1" s="1"/>
  <c r="K61" i="1" l="1"/>
  <c r="K62" i="1" s="1"/>
  <c r="E98" i="1"/>
  <c r="K98" i="1" l="1"/>
  <c r="E99" i="1"/>
  <c r="K99" i="1" s="1"/>
  <c r="K63" i="1"/>
  <c r="K64" i="1" s="1"/>
  <c r="E100" i="1" l="1"/>
  <c r="K100" i="1" s="1"/>
  <c r="K65" i="1"/>
  <c r="K66" i="1" s="1"/>
  <c r="E101" i="1" l="1"/>
  <c r="E102" i="1" l="1"/>
  <c r="K102" i="1" s="1"/>
  <c r="K101" i="1"/>
  <c r="E103" i="1" l="1"/>
  <c r="K103" i="1" l="1"/>
  <c r="E104" i="1"/>
  <c r="K104" i="1" s="1"/>
  <c r="E105" i="1" l="1"/>
  <c r="K105" i="1" s="1"/>
  <c r="E106" i="1" l="1"/>
  <c r="K106" i="1" s="1"/>
  <c r="E107" i="1" l="1"/>
  <c r="K107" i="1" s="1"/>
  <c r="E108" i="1" l="1"/>
  <c r="K108" i="1" s="1"/>
  <c r="E109" i="1" l="1"/>
  <c r="K109" i="1" s="1"/>
  <c r="E110" i="1" l="1"/>
  <c r="K110" i="1" s="1"/>
  <c r="E111" i="1" l="1"/>
  <c r="K111" i="1" s="1"/>
  <c r="E112" i="1" l="1"/>
  <c r="K112" i="1" s="1"/>
  <c r="E113" i="1" l="1"/>
  <c r="K113" i="1" s="1"/>
  <c r="E114" i="1" l="1"/>
  <c r="K114" i="1" s="1"/>
  <c r="E115" i="1" l="1"/>
  <c r="K115" i="1" s="1"/>
  <c r="E116" i="1" l="1"/>
  <c r="K116" i="1" s="1"/>
  <c r="D117" i="1"/>
  <c r="E117" i="1" l="1"/>
  <c r="C6" i="1" s="1"/>
  <c r="K117" i="1" l="1"/>
  <c r="C7" i="1"/>
  <c r="H96" i="1" l="1"/>
  <c r="H67" i="1"/>
  <c r="H69" i="1"/>
  <c r="H91" i="1"/>
  <c r="H80" i="1"/>
  <c r="H89" i="1"/>
  <c r="H85" i="1"/>
  <c r="H100" i="1"/>
  <c r="H95" i="1"/>
  <c r="H112" i="1"/>
  <c r="H108" i="1"/>
  <c r="H88" i="1"/>
  <c r="H104" i="1"/>
  <c r="H93" i="1"/>
  <c r="H107" i="1"/>
  <c r="H79" i="1"/>
  <c r="H106" i="1"/>
  <c r="H84" i="1"/>
  <c r="H109" i="1"/>
  <c r="H87" i="1"/>
  <c r="H110" i="1"/>
  <c r="H71" i="1"/>
  <c r="H86" i="1"/>
  <c r="H77" i="1"/>
  <c r="H105" i="1"/>
  <c r="H73" i="1"/>
  <c r="H97" i="1"/>
  <c r="H92" i="1"/>
  <c r="H94" i="1"/>
  <c r="H70" i="1"/>
  <c r="H99" i="1"/>
  <c r="H98" i="1"/>
  <c r="H111" i="1"/>
  <c r="H83" i="1"/>
  <c r="H117" i="1"/>
  <c r="H72" i="1"/>
  <c r="H90" i="1"/>
  <c r="H102" i="1"/>
  <c r="H115" i="1"/>
  <c r="H68" i="1"/>
  <c r="H101" i="1"/>
  <c r="H82" i="1"/>
  <c r="H103" i="1"/>
  <c r="H116" i="1"/>
  <c r="H81" i="1"/>
  <c r="H113" i="1"/>
  <c r="H76" i="1"/>
  <c r="H78" i="1"/>
  <c r="H75" i="1"/>
  <c r="H74" i="1"/>
  <c r="H114" i="1"/>
  <c r="H21" i="1"/>
  <c r="H43" i="1"/>
  <c r="H33" i="1"/>
  <c r="H27" i="1"/>
  <c r="H34" i="1"/>
  <c r="H28" i="1"/>
  <c r="H22" i="1"/>
  <c r="H52" i="1"/>
  <c r="H40" i="1"/>
  <c r="H23" i="1"/>
  <c r="H35" i="1"/>
  <c r="H37" i="1"/>
  <c r="H31" i="1"/>
  <c r="H39" i="1"/>
  <c r="H36" i="1"/>
  <c r="H38" i="1"/>
  <c r="H49" i="1"/>
  <c r="H56" i="1"/>
  <c r="H20" i="1"/>
  <c r="H51" i="1"/>
  <c r="H57" i="1"/>
  <c r="H50" i="1"/>
  <c r="H32" i="1"/>
  <c r="H24" i="1" l="1"/>
  <c r="H58" i="1" l="1"/>
  <c r="H18" i="1" l="1"/>
  <c r="H59" i="1"/>
  <c r="H19" i="1" l="1"/>
  <c r="F18" i="1"/>
  <c r="I18" i="1" s="1"/>
  <c r="G19" i="1" s="1"/>
  <c r="F19" i="1" l="1"/>
  <c r="I19" i="1" s="1"/>
  <c r="G20" i="1" s="1"/>
  <c r="F20" i="1" s="1"/>
  <c r="I20" i="1" s="1"/>
  <c r="G21" i="1" s="1"/>
  <c r="F21" i="1" s="1"/>
  <c r="I21" i="1" s="1"/>
  <c r="G22" i="1" s="1"/>
  <c r="F22" i="1" s="1"/>
  <c r="I22" i="1" s="1"/>
  <c r="G23" i="1" s="1"/>
  <c r="F23" i="1" s="1"/>
  <c r="I23" i="1" s="1"/>
  <c r="G24" i="1" s="1"/>
  <c r="F24" i="1" s="1"/>
  <c r="I24" i="1" s="1"/>
  <c r="G25" i="1" s="1"/>
  <c r="G67" i="1" l="1"/>
  <c r="F67" i="1" s="1"/>
  <c r="I67" i="1" s="1"/>
  <c r="G68" i="1" l="1"/>
  <c r="F68" i="1" s="1"/>
  <c r="I68" i="1" s="1"/>
  <c r="G69" i="1" l="1"/>
  <c r="F69" i="1" s="1"/>
  <c r="I69" i="1" s="1"/>
  <c r="G70" i="1" l="1"/>
  <c r="F70" i="1" s="1"/>
  <c r="I70" i="1" s="1"/>
  <c r="G71" i="1" l="1"/>
  <c r="F71" i="1" s="1"/>
  <c r="I71" i="1" s="1"/>
  <c r="G72" i="1" l="1"/>
  <c r="F72" i="1" s="1"/>
  <c r="I72" i="1" s="1"/>
  <c r="G73" i="1" l="1"/>
  <c r="F73" i="1" s="1"/>
  <c r="I73" i="1" s="1"/>
  <c r="G74" i="1" l="1"/>
  <c r="F74" i="1" s="1"/>
  <c r="I74" i="1" s="1"/>
  <c r="G75" i="1" l="1"/>
  <c r="F75" i="1" s="1"/>
  <c r="I75" i="1" s="1"/>
  <c r="G76" i="1" l="1"/>
  <c r="F76" i="1" s="1"/>
  <c r="I76" i="1" s="1"/>
  <c r="G77" i="1" l="1"/>
  <c r="F77" i="1" s="1"/>
  <c r="I77" i="1" s="1"/>
  <c r="G78" i="1" l="1"/>
  <c r="F78" i="1" s="1"/>
  <c r="I78" i="1" s="1"/>
  <c r="G79" i="1" l="1"/>
  <c r="F79" i="1" s="1"/>
  <c r="I79" i="1" s="1"/>
  <c r="G80" i="1" l="1"/>
  <c r="F80" i="1" s="1"/>
  <c r="I80" i="1" s="1"/>
  <c r="G81" i="1" l="1"/>
  <c r="F81" i="1" s="1"/>
  <c r="I81" i="1" s="1"/>
  <c r="G82" i="1" l="1"/>
  <c r="F82" i="1" s="1"/>
  <c r="I82" i="1" s="1"/>
  <c r="G83" i="1" l="1"/>
  <c r="F83" i="1" s="1"/>
  <c r="I83" i="1" s="1"/>
  <c r="G84" i="1" l="1"/>
  <c r="F84" i="1" s="1"/>
  <c r="I84" i="1" s="1"/>
  <c r="G85" i="1" l="1"/>
  <c r="F85" i="1" s="1"/>
  <c r="I85" i="1" s="1"/>
  <c r="G86" i="1" l="1"/>
  <c r="F86" i="1" s="1"/>
  <c r="I86" i="1" s="1"/>
  <c r="G87" i="1" l="1"/>
  <c r="F87" i="1" s="1"/>
  <c r="I87" i="1" s="1"/>
  <c r="G88" i="1" l="1"/>
  <c r="F88" i="1" s="1"/>
  <c r="I88" i="1" s="1"/>
  <c r="G89" i="1" l="1"/>
  <c r="F89" i="1" s="1"/>
  <c r="I89" i="1" s="1"/>
  <c r="G90" i="1" l="1"/>
  <c r="F90" i="1" s="1"/>
  <c r="I90" i="1" s="1"/>
  <c r="G91" i="1" l="1"/>
  <c r="F91" i="1" s="1"/>
  <c r="I91" i="1" s="1"/>
  <c r="G92" i="1" l="1"/>
  <c r="F92" i="1" s="1"/>
  <c r="I92" i="1" s="1"/>
  <c r="G93" i="1" l="1"/>
  <c r="F93" i="1" s="1"/>
  <c r="I93" i="1" s="1"/>
  <c r="G94" i="1" l="1"/>
  <c r="F94" i="1" s="1"/>
  <c r="I94" i="1" s="1"/>
  <c r="G95" i="1" l="1"/>
  <c r="F95" i="1" s="1"/>
  <c r="I95" i="1" s="1"/>
  <c r="G96" i="1" l="1"/>
  <c r="F96" i="1" s="1"/>
  <c r="I96" i="1" s="1"/>
  <c r="G97" i="1" l="1"/>
  <c r="F97" i="1" s="1"/>
  <c r="I97" i="1" s="1"/>
  <c r="G98" i="1" l="1"/>
  <c r="F98" i="1" s="1"/>
  <c r="I98" i="1" s="1"/>
  <c r="G99" i="1" l="1"/>
  <c r="F99" i="1" s="1"/>
  <c r="I99" i="1" s="1"/>
  <c r="G100" i="1" l="1"/>
  <c r="F100" i="1" s="1"/>
  <c r="I100" i="1" s="1"/>
  <c r="G101" i="1" l="1"/>
  <c r="F101" i="1" s="1"/>
  <c r="I101" i="1" s="1"/>
  <c r="G102" i="1" l="1"/>
  <c r="F102" i="1" s="1"/>
  <c r="I102" i="1" s="1"/>
  <c r="G103" i="1" l="1"/>
  <c r="F103" i="1" s="1"/>
  <c r="I103" i="1" s="1"/>
  <c r="G104" i="1" l="1"/>
  <c r="F104" i="1" s="1"/>
  <c r="I104" i="1" s="1"/>
  <c r="G105" i="1" l="1"/>
  <c r="F105" i="1" s="1"/>
  <c r="I105" i="1" s="1"/>
  <c r="G106" i="1" l="1"/>
  <c r="F106" i="1" s="1"/>
  <c r="I106" i="1" s="1"/>
  <c r="G107" i="1" l="1"/>
  <c r="F107" i="1" s="1"/>
  <c r="I107" i="1" s="1"/>
  <c r="G108" i="1" l="1"/>
  <c r="F108" i="1" s="1"/>
  <c r="I108" i="1" s="1"/>
  <c r="G109" i="1" l="1"/>
  <c r="F109" i="1" s="1"/>
  <c r="I109" i="1" s="1"/>
  <c r="G110" i="1" l="1"/>
  <c r="F110" i="1" s="1"/>
  <c r="I110" i="1" s="1"/>
  <c r="G111" i="1" l="1"/>
  <c r="F111" i="1" s="1"/>
  <c r="I111" i="1" s="1"/>
  <c r="G112" i="1" l="1"/>
  <c r="F112" i="1" s="1"/>
  <c r="I112" i="1" s="1"/>
  <c r="G113" i="1" l="1"/>
  <c r="F113" i="1" s="1"/>
  <c r="I113" i="1" s="1"/>
  <c r="G114" i="1" l="1"/>
  <c r="F114" i="1" s="1"/>
  <c r="I114" i="1" s="1"/>
  <c r="G115" i="1" l="1"/>
  <c r="F115" i="1" s="1"/>
  <c r="I115" i="1" s="1"/>
  <c r="G116" i="1" l="1"/>
  <c r="F116" i="1" s="1"/>
  <c r="I116" i="1" s="1"/>
  <c r="G117" i="1" l="1"/>
  <c r="F117" i="1" s="1"/>
  <c r="I117" i="1" s="1"/>
  <c r="H44" i="1" l="1"/>
  <c r="H45" i="1"/>
  <c r="H48" i="1"/>
  <c r="H46" i="1" l="1"/>
  <c r="H25" i="1"/>
  <c r="H26" i="1"/>
  <c r="H47" i="1" l="1"/>
  <c r="F25" i="1"/>
  <c r="I25" i="1" s="1"/>
  <c r="H17" i="5"/>
  <c r="H18" i="5" l="1"/>
  <c r="F17" i="5"/>
  <c r="G26" i="1"/>
  <c r="I17" i="5" l="1"/>
  <c r="F26" i="1"/>
  <c r="G18" i="5" l="1"/>
  <c r="I26" i="1"/>
  <c r="F18" i="5" l="1"/>
  <c r="G27" i="1"/>
  <c r="I18" i="5" l="1"/>
  <c r="F27" i="1"/>
  <c r="G19" i="5" l="1"/>
  <c r="I27" i="1"/>
  <c r="F19" i="5" l="1"/>
  <c r="G28" i="1"/>
  <c r="I19" i="5" l="1"/>
  <c r="F28" i="1"/>
  <c r="G20" i="5" l="1"/>
  <c r="I28" i="1"/>
  <c r="F20" i="5" l="1"/>
  <c r="G29" i="1"/>
  <c r="I20" i="5" l="1"/>
  <c r="G21" i="5" l="1"/>
  <c r="F21" i="5" l="1"/>
  <c r="I21" i="5" l="1"/>
  <c r="G22" i="5" l="1"/>
  <c r="F22" i="5" l="1"/>
  <c r="I22" i="5" s="1"/>
  <c r="G23" i="5" l="1"/>
  <c r="F23" i="5" s="1"/>
  <c r="I23" i="5" s="1"/>
  <c r="G24" i="5" l="1"/>
  <c r="F24" i="5" s="1"/>
  <c r="I24" i="5" s="1"/>
  <c r="G25" i="5" l="1"/>
  <c r="F25" i="5" s="1"/>
  <c r="I25" i="5" s="1"/>
  <c r="G26" i="5" l="1"/>
  <c r="F26" i="5" s="1"/>
  <c r="I26" i="5" s="1"/>
  <c r="G27" i="5" l="1"/>
  <c r="F27" i="5" s="1"/>
  <c r="I27" i="5" s="1"/>
  <c r="G28" i="5" l="1"/>
  <c r="H41" i="1" l="1"/>
  <c r="H42" i="1" l="1"/>
  <c r="H29" i="1" l="1"/>
  <c r="H30" i="1" l="1"/>
  <c r="F29" i="1"/>
  <c r="I29" i="1" s="1"/>
  <c r="G30" i="1" s="1"/>
  <c r="F30" i="1" l="1"/>
  <c r="I30" i="1" s="1"/>
  <c r="G31" i="1" s="1"/>
  <c r="F31" i="1" s="1"/>
  <c r="I31" i="1" s="1"/>
  <c r="G32" i="1" s="1"/>
  <c r="F32" i="1" s="1"/>
  <c r="I32" i="1" s="1"/>
  <c r="G33" i="1" s="1"/>
  <c r="F33" i="1" s="1"/>
  <c r="I33" i="1" s="1"/>
  <c r="G34" i="1" s="1"/>
  <c r="F34" i="1" s="1"/>
  <c r="I34" i="1" s="1"/>
  <c r="G35" i="1" s="1"/>
  <c r="F35" i="1" s="1"/>
  <c r="I35" i="1" s="1"/>
  <c r="G36" i="1" s="1"/>
  <c r="F36" i="1" s="1"/>
  <c r="I36" i="1" s="1"/>
  <c r="G37" i="1" s="1"/>
  <c r="F37" i="1" s="1"/>
  <c r="I37" i="1" s="1"/>
  <c r="G38" i="1" s="1"/>
  <c r="F38" i="1" s="1"/>
  <c r="I38" i="1" s="1"/>
  <c r="G39" i="1" s="1"/>
  <c r="F39" i="1" s="1"/>
  <c r="I39" i="1" s="1"/>
  <c r="G40" i="1" s="1"/>
  <c r="F40" i="1" s="1"/>
  <c r="I40" i="1" s="1"/>
  <c r="G41" i="1" s="1"/>
  <c r="F41" i="1" s="1"/>
  <c r="I41" i="1" s="1"/>
  <c r="G42" i="1" s="1"/>
  <c r="F42" i="1" s="1"/>
  <c r="I42" i="1" s="1"/>
  <c r="G43" i="1" s="1"/>
  <c r="F43" i="1" s="1"/>
  <c r="I43" i="1" s="1"/>
  <c r="G44" i="1" s="1"/>
  <c r="F44" i="1" s="1"/>
  <c r="I44" i="1" s="1"/>
  <c r="G45" i="1" s="1"/>
  <c r="F45" i="1" s="1"/>
  <c r="I45" i="1" s="1"/>
  <c r="G46" i="1" s="1"/>
  <c r="F46" i="1" s="1"/>
  <c r="I46" i="1" s="1"/>
  <c r="G47" i="1" l="1"/>
  <c r="F47" i="1" s="1"/>
  <c r="I47" i="1" s="1"/>
  <c r="H28" i="5" l="1"/>
  <c r="G48" i="1"/>
  <c r="F48" i="1" s="1"/>
  <c r="I48" i="1" s="1"/>
  <c r="G49" i="1" s="1"/>
  <c r="F49" i="1" s="1"/>
  <c r="I49" i="1" s="1"/>
  <c r="G50" i="1" s="1"/>
  <c r="F50" i="1" s="1"/>
  <c r="I50" i="1" s="1"/>
  <c r="G51" i="1" s="1"/>
  <c r="F51" i="1" s="1"/>
  <c r="I51" i="1" s="1"/>
  <c r="G52" i="1" s="1"/>
  <c r="F52" i="1" s="1"/>
  <c r="I52" i="1" s="1"/>
  <c r="G53" i="1" s="1"/>
  <c r="H29" i="5" l="1"/>
  <c r="F28" i="5"/>
  <c r="I28" i="5" s="1"/>
  <c r="G29" i="5" s="1"/>
  <c r="G65" i="1"/>
  <c r="G66" i="1" s="1"/>
  <c r="F65" i="1"/>
  <c r="I65" i="1" s="1"/>
  <c r="F29" i="5" l="1"/>
  <c r="I29" i="5" s="1"/>
  <c r="G30" i="5" s="1"/>
  <c r="F30" i="5" s="1"/>
  <c r="I30" i="5" s="1"/>
  <c r="G31" i="5" s="1"/>
  <c r="F31" i="5" s="1"/>
  <c r="I31" i="5" s="1"/>
  <c r="G32" i="5" s="1"/>
  <c r="F32" i="5" s="1"/>
  <c r="I32" i="5" s="1"/>
  <c r="G33" i="5" s="1"/>
  <c r="F33" i="5" s="1"/>
  <c r="I33" i="5" s="1"/>
  <c r="G34" i="5" s="1"/>
  <c r="F34" i="5" s="1"/>
  <c r="I34" i="5" s="1"/>
  <c r="G35" i="5" s="1"/>
  <c r="F35" i="5" s="1"/>
  <c r="I35" i="5" s="1"/>
  <c r="G36" i="5" s="1"/>
  <c r="F36" i="5" s="1"/>
  <c r="I36" i="5" s="1"/>
  <c r="G37" i="5" s="1"/>
  <c r="F37" i="5" s="1"/>
  <c r="I37" i="5" s="1"/>
  <c r="G38" i="5" s="1"/>
  <c r="F38" i="5" s="1"/>
  <c r="I38" i="5" s="1"/>
  <c r="G39" i="5" s="1"/>
  <c r="F39" i="5" s="1"/>
  <c r="I39" i="5" s="1"/>
  <c r="F66" i="1"/>
  <c r="I66" i="1" s="1"/>
  <c r="H65" i="1"/>
  <c r="H66" i="1" s="1"/>
  <c r="H18" i="4"/>
  <c r="H17" i="4"/>
  <c r="H53" i="1" l="1"/>
  <c r="F53" i="1" s="1"/>
  <c r="I53" i="1" s="1"/>
  <c r="G54" i="1" s="1"/>
  <c r="G40" i="5"/>
  <c r="F40" i="5" s="1"/>
  <c r="I40" i="5" s="1"/>
  <c r="H54" i="1"/>
  <c r="H55" i="1" s="1"/>
  <c r="F17" i="4"/>
  <c r="F54" i="1" l="1"/>
  <c r="I54" i="1" s="1"/>
  <c r="G55" i="1" s="1"/>
  <c r="F55" i="1" s="1"/>
  <c r="I55" i="1" s="1"/>
  <c r="G56" i="1" s="1"/>
  <c r="F56" i="1" s="1"/>
  <c r="I56" i="1" s="1"/>
  <c r="G57" i="1" s="1"/>
  <c r="F57" i="1" s="1"/>
  <c r="I57" i="1" s="1"/>
  <c r="G58" i="1" s="1"/>
  <c r="F58" i="1" s="1"/>
  <c r="I58" i="1" s="1"/>
  <c r="G59" i="1" s="1"/>
  <c r="F59" i="1" s="1"/>
  <c r="I59" i="1" s="1"/>
  <c r="G60" i="1" s="1"/>
  <c r="G41" i="5"/>
  <c r="F41" i="5" s="1"/>
  <c r="I41" i="5" s="1"/>
  <c r="I17" i="4"/>
  <c r="G42" i="5" l="1"/>
  <c r="F42" i="5" s="1"/>
  <c r="I42" i="5" s="1"/>
  <c r="G18" i="4"/>
  <c r="G43" i="5" l="1"/>
  <c r="F43" i="5" s="1"/>
  <c r="I43" i="5" s="1"/>
  <c r="F18" i="4"/>
  <c r="G44" i="5" l="1"/>
  <c r="F44" i="5" s="1"/>
  <c r="I44" i="5" s="1"/>
  <c r="I18" i="4"/>
  <c r="G45" i="5" l="1"/>
  <c r="F45" i="5" s="1"/>
  <c r="I45" i="5" s="1"/>
  <c r="G19" i="4"/>
  <c r="G46" i="5" l="1"/>
  <c r="F46" i="5" s="1"/>
  <c r="I46" i="5" s="1"/>
  <c r="F19" i="4"/>
  <c r="G47" i="5" l="1"/>
  <c r="F47" i="5" s="1"/>
  <c r="I47" i="5" s="1"/>
  <c r="I19" i="4"/>
  <c r="G48" i="5" l="1"/>
  <c r="F48" i="5" s="1"/>
  <c r="I48" i="5" s="1"/>
  <c r="G20" i="4"/>
  <c r="G49" i="5" l="1"/>
  <c r="F49" i="5" s="1"/>
  <c r="I49" i="5" s="1"/>
  <c r="F20" i="4"/>
  <c r="G50" i="5" l="1"/>
  <c r="F50" i="5" s="1"/>
  <c r="I50" i="5" s="1"/>
  <c r="I20" i="4"/>
  <c r="G51" i="5" l="1"/>
  <c r="F51" i="5" s="1"/>
  <c r="I51" i="5" s="1"/>
  <c r="G21" i="4"/>
  <c r="G52" i="5" l="1"/>
  <c r="F52" i="5" s="1"/>
  <c r="I52" i="5" s="1"/>
  <c r="F21" i="4"/>
  <c r="G53" i="5" l="1"/>
  <c r="I21" i="4"/>
  <c r="H53" i="5" l="1"/>
  <c r="G22" i="4"/>
  <c r="H54" i="5" l="1"/>
  <c r="F53" i="5"/>
  <c r="I53" i="5" s="1"/>
  <c r="F22" i="4"/>
  <c r="I22" i="4" s="1"/>
  <c r="G54" i="5" l="1"/>
  <c r="F54" i="5" s="1"/>
  <c r="I54" i="5" s="1"/>
  <c r="G23" i="4"/>
  <c r="F23" i="4" s="1"/>
  <c r="I23" i="4" s="1"/>
  <c r="G55" i="5" l="1"/>
  <c r="F55" i="5" s="1"/>
  <c r="I55" i="5" s="1"/>
  <c r="G24" i="4"/>
  <c r="F24" i="4" s="1"/>
  <c r="I24" i="4" s="1"/>
  <c r="G56" i="5" l="1"/>
  <c r="F56" i="5" s="1"/>
  <c r="I56" i="5" s="1"/>
  <c r="G25" i="4"/>
  <c r="F25" i="4" s="1"/>
  <c r="I25" i="4" s="1"/>
  <c r="G57" i="5" l="1"/>
  <c r="F57" i="5" s="1"/>
  <c r="I57" i="5" s="1"/>
  <c r="G26" i="4"/>
  <c r="F26" i="4" s="1"/>
  <c r="I26" i="4" s="1"/>
  <c r="G58" i="5" l="1"/>
  <c r="F58" i="5" s="1"/>
  <c r="I58" i="5" s="1"/>
  <c r="G27" i="4"/>
  <c r="F27" i="4" s="1"/>
  <c r="I27" i="4" s="1"/>
  <c r="G59" i="5" l="1"/>
  <c r="F59" i="5" s="1"/>
  <c r="I59" i="5" s="1"/>
  <c r="G28" i="4"/>
  <c r="G60" i="5" l="1"/>
  <c r="H28" i="4"/>
  <c r="H18" i="6"/>
  <c r="H19" i="6"/>
  <c r="H29" i="4" l="1"/>
  <c r="F28" i="4"/>
  <c r="I28" i="4" s="1"/>
  <c r="F18" i="6"/>
  <c r="G29" i="4" l="1"/>
  <c r="F29" i="4" s="1"/>
  <c r="I29" i="4" s="1"/>
  <c r="I18" i="6"/>
  <c r="G30" i="4" l="1"/>
  <c r="F30" i="4" s="1"/>
  <c r="I30" i="4" s="1"/>
  <c r="G19" i="6"/>
  <c r="H63" i="5" l="1"/>
  <c r="G31" i="4"/>
  <c r="F31" i="4" s="1"/>
  <c r="I31" i="4" s="1"/>
  <c r="F19" i="6"/>
  <c r="G63" i="5" l="1"/>
  <c r="F63" i="5" s="1"/>
  <c r="I63" i="5" s="1"/>
  <c r="G32" i="4"/>
  <c r="F32" i="4" s="1"/>
  <c r="I32" i="4" s="1"/>
  <c r="I19" i="6"/>
  <c r="F64" i="5" l="1"/>
  <c r="I64" i="5"/>
  <c r="G64" i="5"/>
  <c r="G65" i="5" s="1"/>
  <c r="G33" i="4"/>
  <c r="F33" i="4" s="1"/>
  <c r="I33" i="4" s="1"/>
  <c r="G20" i="6"/>
  <c r="H64" i="5" l="1"/>
  <c r="H65" i="5" s="1"/>
  <c r="F65" i="5"/>
  <c r="G34" i="4"/>
  <c r="F34" i="4" s="1"/>
  <c r="I34" i="4" s="1"/>
  <c r="F20" i="6"/>
  <c r="G35" i="4" l="1"/>
  <c r="F35" i="4" s="1"/>
  <c r="I35" i="4" s="1"/>
  <c r="I20" i="6"/>
  <c r="G36" i="4" l="1"/>
  <c r="F36" i="4" s="1"/>
  <c r="I36" i="4" s="1"/>
  <c r="G21" i="6"/>
  <c r="G37" i="4" l="1"/>
  <c r="F37" i="4" s="1"/>
  <c r="I37" i="4" s="1"/>
  <c r="F21" i="6"/>
  <c r="G38" i="4" l="1"/>
  <c r="F38" i="4" s="1"/>
  <c r="I38" i="4" s="1"/>
  <c r="I21" i="6"/>
  <c r="G39" i="4" l="1"/>
  <c r="F39" i="4" s="1"/>
  <c r="I39" i="4" s="1"/>
  <c r="G22" i="6"/>
  <c r="G40" i="4" l="1"/>
  <c r="F40" i="4" s="1"/>
  <c r="I40" i="4" s="1"/>
  <c r="F22" i="6"/>
  <c r="G41" i="4" l="1"/>
  <c r="F41" i="4" s="1"/>
  <c r="I41" i="4" s="1"/>
  <c r="I22" i="6"/>
  <c r="G42" i="4" l="1"/>
  <c r="F42" i="4" s="1"/>
  <c r="I42" i="4" s="1"/>
  <c r="G23" i="6"/>
  <c r="G43" i="4" l="1"/>
  <c r="F43" i="4" s="1"/>
  <c r="I43" i="4" s="1"/>
  <c r="F23" i="6"/>
  <c r="I23" i="6" s="1"/>
  <c r="G44" i="4" l="1"/>
  <c r="F44" i="4" s="1"/>
  <c r="I44" i="4" s="1"/>
  <c r="G24" i="6"/>
  <c r="F24" i="6" s="1"/>
  <c r="I24" i="6" s="1"/>
  <c r="G45" i="4" l="1"/>
  <c r="F45" i="4" s="1"/>
  <c r="I45" i="4" s="1"/>
  <c r="G25" i="6"/>
  <c r="F25" i="6" s="1"/>
  <c r="I25" i="6" s="1"/>
  <c r="G46" i="4" l="1"/>
  <c r="F46" i="4" s="1"/>
  <c r="I46" i="4" s="1"/>
  <c r="G26" i="6"/>
  <c r="F26" i="6" s="1"/>
  <c r="I26" i="6" s="1"/>
  <c r="G47" i="4" l="1"/>
  <c r="F47" i="4" s="1"/>
  <c r="I47" i="4" s="1"/>
  <c r="G27" i="6"/>
  <c r="F27" i="6" s="1"/>
  <c r="I27" i="6" s="1"/>
  <c r="G48" i="4" l="1"/>
  <c r="F48" i="4" s="1"/>
  <c r="I48" i="4" s="1"/>
  <c r="G28" i="6"/>
  <c r="F28" i="6" s="1"/>
  <c r="I28" i="6" s="1"/>
  <c r="G49" i="4" l="1"/>
  <c r="F49" i="4" s="1"/>
  <c r="I49" i="4" s="1"/>
  <c r="G29" i="6"/>
  <c r="G50" i="4" l="1"/>
  <c r="F50" i="4" s="1"/>
  <c r="I50" i="4" s="1"/>
  <c r="H29" i="6"/>
  <c r="H18" i="7"/>
  <c r="H19" i="7"/>
  <c r="H30" i="6" l="1"/>
  <c r="F29" i="6"/>
  <c r="I29" i="6" s="1"/>
  <c r="G51" i="4"/>
  <c r="F51" i="4" s="1"/>
  <c r="I51" i="4" s="1"/>
  <c r="F18" i="7"/>
  <c r="G30" i="6" l="1"/>
  <c r="F30" i="6" s="1"/>
  <c r="I30" i="6" s="1"/>
  <c r="G52" i="4"/>
  <c r="I18" i="7"/>
  <c r="G31" i="6" l="1"/>
  <c r="F31" i="6" s="1"/>
  <c r="I31" i="6" s="1"/>
  <c r="H52" i="4"/>
  <c r="G19" i="7"/>
  <c r="G32" i="6" l="1"/>
  <c r="F32" i="6" s="1"/>
  <c r="I32" i="6" s="1"/>
  <c r="H53" i="4"/>
  <c r="F52" i="4"/>
  <c r="I52" i="4" s="1"/>
  <c r="F19" i="7"/>
  <c r="G33" i="6" l="1"/>
  <c r="F33" i="6" s="1"/>
  <c r="I33" i="6" s="1"/>
  <c r="G53" i="4"/>
  <c r="F53" i="4" s="1"/>
  <c r="I53" i="4" s="1"/>
  <c r="I19" i="7"/>
  <c r="G34" i="6" l="1"/>
  <c r="F34" i="6" s="1"/>
  <c r="I34" i="6" s="1"/>
  <c r="G54" i="4"/>
  <c r="F54" i="4" s="1"/>
  <c r="I54" i="4" s="1"/>
  <c r="G20" i="7"/>
  <c r="G35" i="6" l="1"/>
  <c r="F35" i="6" s="1"/>
  <c r="I35" i="6" s="1"/>
  <c r="G55" i="4"/>
  <c r="F55" i="4" s="1"/>
  <c r="I55" i="4" s="1"/>
  <c r="F20" i="7"/>
  <c r="G36" i="6" l="1"/>
  <c r="F36" i="6" s="1"/>
  <c r="I36" i="6" s="1"/>
  <c r="G56" i="4"/>
  <c r="F56" i="4" s="1"/>
  <c r="I56" i="4" s="1"/>
  <c r="I20" i="7"/>
  <c r="G37" i="6" l="1"/>
  <c r="F37" i="6" s="1"/>
  <c r="I37" i="6" s="1"/>
  <c r="G57" i="4"/>
  <c r="F57" i="4" s="1"/>
  <c r="I57" i="4" s="1"/>
  <c r="G21" i="7"/>
  <c r="G38" i="6" l="1"/>
  <c r="F38" i="6" s="1"/>
  <c r="I38" i="6" s="1"/>
  <c r="G58" i="4"/>
  <c r="F58" i="4" s="1"/>
  <c r="I58" i="4" s="1"/>
  <c r="F21" i="7"/>
  <c r="G39" i="6" l="1"/>
  <c r="F39" i="6" s="1"/>
  <c r="I39" i="6" s="1"/>
  <c r="G59" i="4"/>
  <c r="F59" i="4" s="1"/>
  <c r="I59" i="4" s="1"/>
  <c r="I21" i="7"/>
  <c r="G40" i="6" l="1"/>
  <c r="F40" i="6" s="1"/>
  <c r="I40" i="6" s="1"/>
  <c r="G60" i="4"/>
  <c r="G22" i="7"/>
  <c r="G41" i="6" l="1"/>
  <c r="F41" i="6" s="1"/>
  <c r="I41" i="6" s="1"/>
  <c r="F22" i="7"/>
  <c r="G42" i="6" l="1"/>
  <c r="F42" i="6" s="1"/>
  <c r="I42" i="6" s="1"/>
  <c r="I22" i="7"/>
  <c r="G43" i="6" l="1"/>
  <c r="F43" i="6" s="1"/>
  <c r="I43" i="6" s="1"/>
  <c r="G23" i="7"/>
  <c r="G44" i="6" l="1"/>
  <c r="F44" i="6" s="1"/>
  <c r="I44" i="6" s="1"/>
  <c r="F23" i="7"/>
  <c r="I23" i="7" s="1"/>
  <c r="G45" i="6" l="1"/>
  <c r="F45" i="6" s="1"/>
  <c r="I45" i="6" s="1"/>
  <c r="G24" i="7"/>
  <c r="F24" i="7" s="1"/>
  <c r="I24" i="7" s="1"/>
  <c r="I61" i="4" l="1"/>
  <c r="G62" i="4"/>
  <c r="G46" i="6"/>
  <c r="F46" i="6" s="1"/>
  <c r="I46" i="6" s="1"/>
  <c r="G25" i="7"/>
  <c r="F25" i="7" s="1"/>
  <c r="I25" i="7" s="1"/>
  <c r="H62" i="4" l="1"/>
  <c r="G47" i="6"/>
  <c r="F47" i="6" s="1"/>
  <c r="I47" i="6" s="1"/>
  <c r="G26" i="7"/>
  <c r="F26" i="7" s="1"/>
  <c r="I26" i="7" s="1"/>
  <c r="F62" i="4" l="1"/>
  <c r="I62" i="4" s="1"/>
  <c r="G48" i="6"/>
  <c r="F48" i="6" s="1"/>
  <c r="I48" i="6" s="1"/>
  <c r="G27" i="7"/>
  <c r="F27" i="7" s="1"/>
  <c r="I27" i="7" s="1"/>
  <c r="G63" i="4" l="1"/>
  <c r="G64" i="4" s="1"/>
  <c r="F63" i="4"/>
  <c r="G49" i="6"/>
  <c r="F49" i="6" s="1"/>
  <c r="I49" i="6" s="1"/>
  <c r="G28" i="7"/>
  <c r="F28" i="7" s="1"/>
  <c r="I28" i="7" s="1"/>
  <c r="F64" i="4" l="1"/>
  <c r="H63" i="4"/>
  <c r="H64" i="4" s="1"/>
  <c r="I63" i="4"/>
  <c r="G50" i="6"/>
  <c r="F50" i="6" s="1"/>
  <c r="I50" i="6" s="1"/>
  <c r="G29" i="7"/>
  <c r="G51" i="6" l="1"/>
  <c r="F51" i="6" s="1"/>
  <c r="I51" i="6" s="1"/>
  <c r="H29" i="7"/>
  <c r="H18" i="8"/>
  <c r="H19" i="8"/>
  <c r="H30" i="7" l="1"/>
  <c r="F29" i="7"/>
  <c r="I29" i="7" s="1"/>
  <c r="G52" i="6"/>
  <c r="F52" i="6" s="1"/>
  <c r="I52" i="6" s="1"/>
  <c r="F18" i="8"/>
  <c r="G30" i="7" l="1"/>
  <c r="F30" i="7" s="1"/>
  <c r="I30" i="7" s="1"/>
  <c r="G53" i="6"/>
  <c r="F53" i="6" s="1"/>
  <c r="I53" i="6" s="1"/>
  <c r="I18" i="8"/>
  <c r="G31" i="7" l="1"/>
  <c r="F31" i="7" s="1"/>
  <c r="I31" i="7" s="1"/>
  <c r="G54" i="6"/>
  <c r="F54" i="6" s="1"/>
  <c r="I54" i="6" s="1"/>
  <c r="G19" i="8"/>
  <c r="G32" i="7" l="1"/>
  <c r="F32" i="7" s="1"/>
  <c r="I32" i="7" s="1"/>
  <c r="G55" i="6"/>
  <c r="F55" i="6" s="1"/>
  <c r="I55" i="6" s="1"/>
  <c r="F19" i="8"/>
  <c r="G33" i="7" l="1"/>
  <c r="F33" i="7" s="1"/>
  <c r="I33" i="7" s="1"/>
  <c r="G56" i="6"/>
  <c r="F56" i="6" s="1"/>
  <c r="I56" i="6" s="1"/>
  <c r="I19" i="8"/>
  <c r="G34" i="7" l="1"/>
  <c r="F34" i="7" s="1"/>
  <c r="I34" i="7" s="1"/>
  <c r="G57" i="6"/>
  <c r="F57" i="6" s="1"/>
  <c r="I57" i="6" s="1"/>
  <c r="G20" i="8"/>
  <c r="G35" i="7" l="1"/>
  <c r="F35" i="7" s="1"/>
  <c r="I35" i="7" s="1"/>
  <c r="G58" i="6"/>
  <c r="F58" i="6" s="1"/>
  <c r="I58" i="6" s="1"/>
  <c r="F20" i="8"/>
  <c r="G36" i="7" l="1"/>
  <c r="F36" i="7" s="1"/>
  <c r="I36" i="7" s="1"/>
  <c r="G59" i="6"/>
  <c r="F59" i="6" s="1"/>
  <c r="I59" i="6" s="1"/>
  <c r="I20" i="8"/>
  <c r="G37" i="7" l="1"/>
  <c r="F37" i="7" s="1"/>
  <c r="I37" i="7" s="1"/>
  <c r="G60" i="6"/>
  <c r="F60" i="6" s="1"/>
  <c r="I60" i="6" s="1"/>
  <c r="G21" i="8"/>
  <c r="G38" i="7" l="1"/>
  <c r="F38" i="7" s="1"/>
  <c r="I38" i="7" s="1"/>
  <c r="G61" i="6"/>
  <c r="F21" i="8"/>
  <c r="G39" i="7" l="1"/>
  <c r="F39" i="7" s="1"/>
  <c r="I39" i="7" s="1"/>
  <c r="I21" i="8"/>
  <c r="G40" i="7" l="1"/>
  <c r="F40" i="7" s="1"/>
  <c r="I40" i="7" s="1"/>
  <c r="G22" i="8"/>
  <c r="G41" i="7" l="1"/>
  <c r="F41" i="7" s="1"/>
  <c r="I41" i="7" s="1"/>
  <c r="F22" i="8"/>
  <c r="G42" i="7" l="1"/>
  <c r="F42" i="7" s="1"/>
  <c r="I42" i="7" s="1"/>
  <c r="I22" i="8"/>
  <c r="G43" i="7" l="1"/>
  <c r="F43" i="7" s="1"/>
  <c r="I43" i="7" s="1"/>
  <c r="G23" i="8"/>
  <c r="G44" i="7" l="1"/>
  <c r="F44" i="7" s="1"/>
  <c r="I44" i="7" s="1"/>
  <c r="F23" i="8"/>
  <c r="I23" i="8" s="1"/>
  <c r="G45" i="7" l="1"/>
  <c r="F45" i="7" s="1"/>
  <c r="I45" i="7" s="1"/>
  <c r="G24" i="8"/>
  <c r="F24" i="8" s="1"/>
  <c r="I24" i="8" s="1"/>
  <c r="G46" i="7" l="1"/>
  <c r="F46" i="7" s="1"/>
  <c r="I46" i="7" s="1"/>
  <c r="G25" i="8"/>
  <c r="F25" i="8" s="1"/>
  <c r="I25" i="8" s="1"/>
  <c r="G47" i="7" l="1"/>
  <c r="F47" i="7" s="1"/>
  <c r="I47" i="7" s="1"/>
  <c r="G26" i="8"/>
  <c r="F26" i="8" s="1"/>
  <c r="I26" i="8" s="1"/>
  <c r="G48" i="7" l="1"/>
  <c r="F48" i="7" s="1"/>
  <c r="I48" i="7" s="1"/>
  <c r="G27" i="8"/>
  <c r="F27" i="8" s="1"/>
  <c r="I27" i="8" s="1"/>
  <c r="G49" i="7" l="1"/>
  <c r="F49" i="7" s="1"/>
  <c r="I49" i="7" s="1"/>
  <c r="G28" i="8"/>
  <c r="F28" i="8" s="1"/>
  <c r="I28" i="8" s="1"/>
  <c r="G50" i="7" l="1"/>
  <c r="F50" i="7" s="1"/>
  <c r="I50" i="7" s="1"/>
  <c r="G29" i="8"/>
  <c r="G51" i="7" l="1"/>
  <c r="F51" i="7" s="1"/>
  <c r="I51" i="7" s="1"/>
  <c r="H29" i="8"/>
  <c r="H30" i="8" l="1"/>
  <c r="F29" i="8"/>
  <c r="I29" i="8" s="1"/>
  <c r="G52" i="7"/>
  <c r="F52" i="7" s="1"/>
  <c r="I52" i="7" s="1"/>
  <c r="H60" i="1"/>
  <c r="F60" i="1" s="1"/>
  <c r="I60" i="1" s="1"/>
  <c r="G30" i="8" l="1"/>
  <c r="F30" i="8" s="1"/>
  <c r="I30" i="8" s="1"/>
  <c r="G53" i="7"/>
  <c r="F53" i="7" s="1"/>
  <c r="I53" i="7" s="1"/>
  <c r="G61" i="1"/>
  <c r="G31" i="8" l="1"/>
  <c r="F31" i="8" s="1"/>
  <c r="I31" i="8" s="1"/>
  <c r="G54" i="7"/>
  <c r="F54" i="7" s="1"/>
  <c r="I54" i="7" s="1"/>
  <c r="G32" i="8" l="1"/>
  <c r="F32" i="8" s="1"/>
  <c r="I32" i="8" s="1"/>
  <c r="G55" i="7"/>
  <c r="F55" i="7" s="1"/>
  <c r="I55" i="7" s="1"/>
  <c r="G33" i="8" l="1"/>
  <c r="F33" i="8" s="1"/>
  <c r="I33" i="8" s="1"/>
  <c r="G56" i="7"/>
  <c r="F56" i="7" s="1"/>
  <c r="I56" i="7" s="1"/>
  <c r="G34" i="8" l="1"/>
  <c r="F34" i="8" s="1"/>
  <c r="I34" i="8" s="1"/>
  <c r="G57" i="7"/>
  <c r="F57" i="7" s="1"/>
  <c r="I57" i="7" s="1"/>
  <c r="G35" i="8" l="1"/>
  <c r="F35" i="8" s="1"/>
  <c r="I35" i="8" s="1"/>
  <c r="G58" i="7"/>
  <c r="F58" i="7" s="1"/>
  <c r="I58" i="7" s="1"/>
  <c r="G36" i="8" l="1"/>
  <c r="F36" i="8" s="1"/>
  <c r="I36" i="8" s="1"/>
  <c r="G59" i="7"/>
  <c r="F59" i="7" s="1"/>
  <c r="I59" i="7" s="1"/>
  <c r="G37" i="8" l="1"/>
  <c r="F37" i="8" s="1"/>
  <c r="I37" i="8" s="1"/>
  <c r="G60" i="7"/>
  <c r="F60" i="7" s="1"/>
  <c r="I60" i="7" s="1"/>
  <c r="G38" i="8" l="1"/>
  <c r="F38" i="8" s="1"/>
  <c r="I38" i="8" s="1"/>
  <c r="G61" i="7"/>
  <c r="G39" i="8" l="1"/>
  <c r="F39" i="8" s="1"/>
  <c r="I39" i="8" s="1"/>
  <c r="G40" i="8" l="1"/>
  <c r="F40" i="8" s="1"/>
  <c r="I40" i="8" s="1"/>
  <c r="I64" i="7"/>
  <c r="G41" i="8" l="1"/>
  <c r="F41" i="8" s="1"/>
  <c r="I41" i="8" s="1"/>
  <c r="F65" i="7"/>
  <c r="G42" i="8" l="1"/>
  <c r="F42" i="8" s="1"/>
  <c r="I42" i="8" s="1"/>
  <c r="G43" i="8" l="1"/>
  <c r="F43" i="8" s="1"/>
  <c r="I43" i="8" s="1"/>
  <c r="G44" i="8" l="1"/>
  <c r="F44" i="8" s="1"/>
  <c r="I44" i="8" s="1"/>
  <c r="G45" i="8" l="1"/>
  <c r="F45" i="8" s="1"/>
  <c r="I45" i="8" s="1"/>
  <c r="G46" i="8" l="1"/>
  <c r="F46" i="8" s="1"/>
  <c r="I46" i="8" s="1"/>
  <c r="G47" i="8" l="1"/>
  <c r="F47" i="8" s="1"/>
  <c r="I47" i="8" s="1"/>
  <c r="G48" i="8" l="1"/>
  <c r="F48" i="8" s="1"/>
  <c r="I48" i="8" s="1"/>
  <c r="G49" i="8" l="1"/>
  <c r="F49" i="8" s="1"/>
  <c r="I49" i="8" s="1"/>
  <c r="G50" i="8" l="1"/>
  <c r="F50" i="8" s="1"/>
  <c r="I50" i="8" s="1"/>
  <c r="G51" i="8" l="1"/>
  <c r="F51" i="8" s="1"/>
  <c r="I51" i="8" s="1"/>
  <c r="G52" i="8" l="1"/>
  <c r="F52" i="8" s="1"/>
  <c r="I52" i="8" s="1"/>
  <c r="G53" i="8" l="1"/>
  <c r="F53" i="8" s="1"/>
  <c r="I53" i="8" s="1"/>
  <c r="G54" i="8" l="1"/>
  <c r="F54" i="8" s="1"/>
  <c r="I54" i="8" s="1"/>
  <c r="G55" i="8" l="1"/>
  <c r="F55" i="8" s="1"/>
  <c r="I55" i="8" s="1"/>
  <c r="G56" i="8" l="1"/>
  <c r="F56" i="8" s="1"/>
  <c r="I56" i="8" s="1"/>
  <c r="G57" i="8" l="1"/>
  <c r="F57" i="8" s="1"/>
  <c r="I57" i="8" s="1"/>
  <c r="G58" i="8" l="1"/>
  <c r="F58" i="8" s="1"/>
  <c r="I58" i="8" s="1"/>
  <c r="G59" i="8" l="1"/>
  <c r="F59" i="8" s="1"/>
  <c r="I59" i="8" s="1"/>
  <c r="G60" i="8" l="1"/>
  <c r="F60" i="8" s="1"/>
  <c r="I60" i="8" s="1"/>
  <c r="G61" i="8" l="1"/>
  <c r="F64" i="8" l="1"/>
  <c r="I63" i="8"/>
  <c r="H64" i="7"/>
  <c r="H65" i="7"/>
  <c r="G64" i="7"/>
  <c r="G65" i="7"/>
  <c r="I63" i="7"/>
  <c r="F64" i="7"/>
  <c r="F61" i="8" l="1"/>
  <c r="H61" i="8" s="1"/>
  <c r="F61" i="7"/>
  <c r="H61" i="7" s="1"/>
  <c r="I61" i="8" l="1"/>
  <c r="I61" i="7"/>
  <c r="G62" i="8" l="1"/>
  <c r="G63" i="8" s="1"/>
  <c r="G64" i="8" s="1"/>
  <c r="F62" i="8"/>
  <c r="I62" i="8"/>
  <c r="F62" i="7"/>
  <c r="I62" i="7"/>
  <c r="G62" i="7"/>
  <c r="G63" i="7" s="1"/>
  <c r="H62" i="8" l="1"/>
  <c r="H63" i="8" s="1"/>
  <c r="H64" i="8" s="1"/>
  <c r="F63" i="8"/>
  <c r="H62" i="7"/>
  <c r="H63" i="7" s="1"/>
  <c r="F63" i="7"/>
  <c r="F61" i="6" l="1"/>
  <c r="H61" i="6" s="1"/>
  <c r="I61" i="6" l="1"/>
  <c r="G62" i="6" l="1"/>
  <c r="G63" i="6" s="1"/>
  <c r="F62" i="6"/>
  <c r="H62" i="6" l="1"/>
  <c r="H63" i="6" s="1"/>
  <c r="F63" i="6"/>
  <c r="I62" i="6"/>
  <c r="F60" i="4"/>
  <c r="H60" i="4" s="1"/>
  <c r="H61" i="4" s="1"/>
  <c r="G61" i="4"/>
  <c r="I64" i="1"/>
  <c r="H62" i="5"/>
  <c r="F62" i="5"/>
  <c r="I62" i="5"/>
  <c r="I61" i="5"/>
  <c r="G62" i="5"/>
  <c r="F60" i="5"/>
  <c r="H60" i="5" s="1"/>
  <c r="H61" i="5" s="1"/>
  <c r="G61" i="5"/>
  <c r="F61" i="4" l="1"/>
  <c r="I60" i="5"/>
  <c r="F61" i="5"/>
  <c r="I60" i="4"/>
  <c r="I63" i="1"/>
  <c r="F64" i="1" l="1"/>
  <c r="F61" i="1" l="1"/>
  <c r="H61" i="1" s="1"/>
  <c r="I61" i="1" l="1"/>
  <c r="G62" i="1" l="1"/>
  <c r="G63" i="1" s="1"/>
  <c r="G64" i="1" s="1"/>
  <c r="F62" i="1"/>
  <c r="H62" i="1" l="1"/>
  <c r="H63" i="1" s="1"/>
  <c r="H64" i="1" s="1"/>
  <c r="F63" i="1"/>
  <c r="I62" i="1"/>
</calcChain>
</file>

<file path=xl/sharedStrings.xml><?xml version="1.0" encoding="utf-8"?>
<sst xmlns="http://schemas.openxmlformats.org/spreadsheetml/2006/main" count="184" uniqueCount="23">
  <si>
    <t>GOBIERNOS LOCALES</t>
  </si>
  <si>
    <t>GOBIERNOS REGIONALES</t>
  </si>
  <si>
    <t>Simulador de Cronograma de Pagos</t>
  </si>
  <si>
    <t>Ingresar Monto del préstamo</t>
  </si>
  <si>
    <t>REGIONALES</t>
  </si>
  <si>
    <t>LOCALES</t>
  </si>
  <si>
    <t>Ingresar Plazo del préstamo</t>
  </si>
  <si>
    <t>Ingresar Fecha del préstamo</t>
  </si>
  <si>
    <t>Tasa de Interés</t>
  </si>
  <si>
    <t>Factor</t>
  </si>
  <si>
    <t>Cuota N°</t>
  </si>
  <si>
    <t>Fecha de Venc.</t>
  </si>
  <si>
    <t>Días</t>
  </si>
  <si>
    <t>Amortización</t>
  </si>
  <si>
    <t>Intereses</t>
  </si>
  <si>
    <t>Cuotas</t>
  </si>
  <si>
    <t>Saldo</t>
  </si>
  <si>
    <t/>
  </si>
  <si>
    <t>TOTALES</t>
  </si>
  <si>
    <t>Hasta el 10.08.2019</t>
  </si>
  <si>
    <t>SECCIÓN BANCA DE GOBIERNO SUBNACIONAL</t>
  </si>
  <si>
    <t>Comunicarse al correo hbasurco@bn.com.pe para la evaluación correspondiente.</t>
  </si>
  <si>
    <t>“La información contenida en los simuladores es referencial y está sujeta a cambios. La Información contenida en el presente documento, se proporciona con arreglo a la Ley N° 28587 y Resolución SBS N° 3274-2017 "Reglamento de Gestión de Conducta de Mercado del Sistema Financiero".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</si>
</sst>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_ &quot;S/&quot;\ * #,##0.00_ ;_ &quot;S/&quot;\ * \-#,##0.00_ ;_ &quot;S/&quot;\ * &quot;-&quot;??_ ;_ @_ "/>
    <numFmt numFmtId="166" formatCode="_(* #,##0.00_);_(* \(#,##0.00\);_(* &quot;-&quot;??_);_(@_)"/>
    <numFmt numFmtId="167" formatCode="dd/mmm/yyyy"/>
    <numFmt numFmtId="168" formatCode="&quot;S/.&quot;\ #,##0.00_);\(&quot;S/.&quot;\ #,##0.00\)"/>
    <numFmt numFmtId="169" formatCode="&quot;S/.&quot;\ #,##0.000000000000000000000000000000000000000000000000000000000000_);\(&quot;S/.&quot;\ #,##0.000000000000000000000000000000000000000000000000000000000000\)"/>
    <numFmt numFmtId="170" formatCode="&quot;S/.&quot;\ #,##0.00000000000000000_);\(&quot;S/.&quot;\ #,##0.00000000000000000\)"/>
    <numFmt numFmtId="171" formatCode="0.00000000%"/>
    <numFmt numFmtId="172" formatCode="_(* #,##0.0000000_);_(* \(#,##0.0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4"/>
      <color rgb="FFFF0000"/>
      <name val="Arial"/>
      <family val="2"/>
    </font>
    <font>
      <sz val="12"/>
      <color theme="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1" applyFont="1" applyProtection="1"/>
    <xf numFmtId="0" fontId="3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/>
    <xf numFmtId="0" fontId="2" fillId="4" borderId="2" xfId="0" applyFont="1" applyFill="1" applyBorder="1" applyAlignment="1">
      <alignment horizontal="left" vertical="center"/>
    </xf>
    <xf numFmtId="0" fontId="2" fillId="0" borderId="3" xfId="0" applyFont="1" applyBorder="1"/>
    <xf numFmtId="169" fontId="2" fillId="0" borderId="0" xfId="0" applyNumberFormat="1" applyFont="1"/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0" fontId="2" fillId="0" borderId="0" xfId="3" applyNumberFormat="1" applyFont="1" applyAlignment="1" applyProtection="1">
      <alignment horizontal="center" vertical="center"/>
    </xf>
    <xf numFmtId="10" fontId="8" fillId="7" borderId="0" xfId="3" applyNumberFormat="1" applyFont="1" applyFill="1" applyAlignment="1" applyProtection="1">
      <alignment horizontal="center"/>
    </xf>
    <xf numFmtId="166" fontId="2" fillId="0" borderId="0" xfId="0" applyNumberFormat="1" applyFont="1"/>
    <xf numFmtId="170" fontId="2" fillId="0" borderId="0" xfId="0" applyNumberFormat="1" applyFont="1"/>
    <xf numFmtId="165" fontId="2" fillId="0" borderId="0" xfId="2" applyFont="1" applyProtection="1"/>
    <xf numFmtId="0" fontId="7" fillId="3" borderId="5" xfId="0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2" fillId="0" borderId="5" xfId="0" applyFont="1" applyBorder="1"/>
    <xf numFmtId="1" fontId="2" fillId="0" borderId="0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Fill="1" applyBorder="1" applyAlignment="1" applyProtection="1">
      <alignment horizontal="center" vertical="center" wrapText="1"/>
    </xf>
    <xf numFmtId="172" fontId="2" fillId="0" borderId="0" xfId="1" applyNumberFormat="1" applyFont="1" applyFill="1" applyBorder="1" applyAlignment="1" applyProtection="1">
      <alignment horizontal="center" vertical="center" wrapText="1"/>
    </xf>
    <xf numFmtId="168" fontId="2" fillId="0" borderId="0" xfId="0" applyNumberFormat="1" applyFont="1"/>
    <xf numFmtId="164" fontId="2" fillId="0" borderId="0" xfId="1" applyFont="1" applyFill="1" applyBorder="1" applyAlignment="1" applyProtection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  <xf numFmtId="167" fontId="2" fillId="0" borderId="0" xfId="4" applyNumberFormat="1" applyFont="1" applyAlignment="1">
      <alignment horizontal="center" vertical="center" wrapText="1"/>
    </xf>
    <xf numFmtId="4" fontId="7" fillId="0" borderId="0" xfId="4" applyNumberFormat="1" applyFont="1" applyAlignment="1">
      <alignment horizontal="center"/>
    </xf>
    <xf numFmtId="168" fontId="2" fillId="0" borderId="0" xfId="4" applyNumberFormat="1" applyFont="1" applyAlignment="1">
      <alignment horizontal="center" vertical="center" wrapText="1"/>
    </xf>
    <xf numFmtId="1" fontId="2" fillId="0" borderId="0" xfId="5" applyNumberFormat="1" applyFont="1" applyFill="1" applyBorder="1" applyAlignment="1" applyProtection="1">
      <alignment horizontal="center" vertical="center" wrapText="1"/>
    </xf>
    <xf numFmtId="0" fontId="2" fillId="8" borderId="0" xfId="0" applyFont="1" applyFill="1"/>
    <xf numFmtId="0" fontId="9" fillId="8" borderId="0" xfId="0" applyFont="1" applyFill="1"/>
    <xf numFmtId="0" fontId="9" fillId="0" borderId="0" xfId="0" applyFont="1"/>
    <xf numFmtId="0" fontId="10" fillId="0" borderId="0" xfId="0" applyFont="1"/>
    <xf numFmtId="1" fontId="2" fillId="0" borderId="0" xfId="0" applyNumberFormat="1" applyFont="1"/>
    <xf numFmtId="2" fontId="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7" fontId="2" fillId="0" borderId="2" xfId="0" applyNumberFormat="1" applyFont="1" applyBorder="1" applyAlignment="1" applyProtection="1">
      <alignment horizontal="center" vertical="center" wrapText="1"/>
      <protection locked="0"/>
    </xf>
    <xf numFmtId="167" fontId="2" fillId="0" borderId="3" xfId="0" applyNumberFormat="1" applyFont="1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71" fontId="2" fillId="0" borderId="1" xfId="3" applyNumberFormat="1" applyFont="1" applyBorder="1" applyAlignment="1" applyProtection="1">
      <alignment horizontal="center"/>
    </xf>
    <xf numFmtId="171" fontId="2" fillId="0" borderId="2" xfId="3" applyNumberFormat="1" applyFont="1" applyBorder="1" applyAlignment="1" applyProtection="1">
      <alignment horizontal="center"/>
    </xf>
    <xf numFmtId="171" fontId="2" fillId="0" borderId="3" xfId="3" applyNumberFormat="1" applyFont="1" applyBorder="1" applyAlignment="1" applyProtection="1">
      <alignment horizontal="center"/>
    </xf>
    <xf numFmtId="167" fontId="11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68" fontId="2" fillId="0" borderId="2" xfId="0" applyNumberFormat="1" applyFont="1" applyBorder="1" applyAlignment="1" applyProtection="1">
      <alignment horizontal="center" vertical="center" wrapText="1"/>
      <protection locked="0"/>
    </xf>
    <xf numFmtId="168" fontId="2" fillId="0" borderId="3" xfId="0" applyNumberFormat="1" applyFont="1" applyBorder="1" applyAlignment="1" applyProtection="1">
      <alignment horizontal="center" vertical="center" wrapText="1"/>
      <protection locked="0"/>
    </xf>
    <xf numFmtId="37" fontId="2" fillId="0" borderId="1" xfId="0" applyNumberFormat="1" applyFont="1" applyBorder="1" applyAlignment="1" applyProtection="1">
      <alignment horizontal="center" vertical="center" wrapText="1"/>
      <protection locked="0"/>
    </xf>
    <xf numFmtId="37" fontId="2" fillId="0" borderId="2" xfId="0" applyNumberFormat="1" applyFont="1" applyBorder="1" applyAlignment="1" applyProtection="1">
      <alignment horizontal="center" vertical="center" wrapText="1"/>
      <protection locked="0"/>
    </xf>
    <xf numFmtId="37" fontId="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justify" vertical="center"/>
    </xf>
    <xf numFmtId="49" fontId="12" fillId="0" borderId="0" xfId="0" applyNumberFormat="1" applyFont="1" applyAlignment="1">
      <alignment horizontal="justify" vertical="center"/>
    </xf>
    <xf numFmtId="167" fontId="4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37" fontId="2" fillId="0" borderId="2" xfId="0" applyNumberFormat="1" applyFont="1" applyBorder="1" applyAlignment="1">
      <alignment horizontal="center" vertical="center" wrapText="1"/>
    </xf>
    <xf numFmtId="37" fontId="2" fillId="0" borderId="3" xfId="0" applyNumberFormat="1" applyFont="1" applyBorder="1" applyAlignment="1">
      <alignment horizontal="center" vertical="center" wrapText="1"/>
    </xf>
  </cellXfs>
  <cellStyles count="6">
    <cellStyle name="Millares" xfId="1" builtinId="3"/>
    <cellStyle name="Millares 4" xfId="5" xr:uid="{00000000-0005-0000-0000-000001000000}"/>
    <cellStyle name="Moneda" xfId="2" builtinId="4"/>
    <cellStyle name="Normal" xfId="0" builtinId="0"/>
    <cellStyle name="Normal 4" xfId="4" xr:uid="{00000000-0005-0000-0000-000004000000}"/>
    <cellStyle name="Porcentaje" xfId="3" builtinId="5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6" name="Line 6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714625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104775</xdr:rowOff>
    </xdr:from>
    <xdr:to>
      <xdr:col>5</xdr:col>
      <xdr:colOff>447675</xdr:colOff>
      <xdr:row>10</xdr:row>
      <xdr:rowOff>104775</xdr:rowOff>
    </xdr:to>
    <xdr:sp macro="" textlink="">
      <xdr:nvSpPr>
        <xdr:cNvPr id="7" name="Line 6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714625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8" name="Line 6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2714625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581025</xdr:colOff>
      <xdr:row>2</xdr:row>
      <xdr:rowOff>123825</xdr:rowOff>
    </xdr:from>
    <xdr:to>
      <xdr:col>8</xdr:col>
      <xdr:colOff>1238250</xdr:colOff>
      <xdr:row>5</xdr:row>
      <xdr:rowOff>85725</xdr:rowOff>
    </xdr:to>
    <xdr:pic>
      <xdr:nvPicPr>
        <xdr:cNvPr id="9" name="Picture 1" descr="logoB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762000"/>
          <a:ext cx="1905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8</xdr:row>
      <xdr:rowOff>104775</xdr:rowOff>
    </xdr:from>
    <xdr:to>
      <xdr:col>5</xdr:col>
      <xdr:colOff>447675</xdr:colOff>
      <xdr:row>8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67000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530225</xdr:colOff>
      <xdr:row>1</xdr:row>
      <xdr:rowOff>177800</xdr:rowOff>
    </xdr:from>
    <xdr:to>
      <xdr:col>8</xdr:col>
      <xdr:colOff>1187450</xdr:colOff>
      <xdr:row>4</xdr:row>
      <xdr:rowOff>155575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514350"/>
          <a:ext cx="1965325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6" name="Line 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8</xdr:row>
      <xdr:rowOff>104775</xdr:rowOff>
    </xdr:from>
    <xdr:to>
      <xdr:col>5</xdr:col>
      <xdr:colOff>447675</xdr:colOff>
      <xdr:row>8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667000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552450</xdr:colOff>
      <xdr:row>1</xdr:row>
      <xdr:rowOff>19050</xdr:rowOff>
    </xdr:from>
    <xdr:to>
      <xdr:col>8</xdr:col>
      <xdr:colOff>1209675</xdr:colOff>
      <xdr:row>4</xdr:row>
      <xdr:rowOff>47625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42925"/>
          <a:ext cx="1905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6" name="Line 6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7" name="Line 6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667000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104775</xdr:rowOff>
    </xdr:from>
    <xdr:to>
      <xdr:col>5</xdr:col>
      <xdr:colOff>447675</xdr:colOff>
      <xdr:row>10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552450</xdr:colOff>
      <xdr:row>2</xdr:row>
      <xdr:rowOff>57150</xdr:rowOff>
    </xdr:from>
    <xdr:to>
      <xdr:col>8</xdr:col>
      <xdr:colOff>1209675</xdr:colOff>
      <xdr:row>5</xdr:row>
      <xdr:rowOff>19051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57225"/>
          <a:ext cx="1905000" cy="46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6" name="Line 6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7" name="Line 6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8" name="Line 6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667000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104775</xdr:rowOff>
    </xdr:from>
    <xdr:to>
      <xdr:col>5</xdr:col>
      <xdr:colOff>447675</xdr:colOff>
      <xdr:row>10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571500</xdr:colOff>
      <xdr:row>2</xdr:row>
      <xdr:rowOff>104775</xdr:rowOff>
    </xdr:from>
    <xdr:to>
      <xdr:col>8</xdr:col>
      <xdr:colOff>1228725</xdr:colOff>
      <xdr:row>5</xdr:row>
      <xdr:rowOff>66675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61975"/>
          <a:ext cx="1905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6" name="Line 6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7" name="Line 6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8" name="Line 6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9" name="Line 6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667000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104775</xdr:rowOff>
    </xdr:from>
    <xdr:to>
      <xdr:col>5</xdr:col>
      <xdr:colOff>447675</xdr:colOff>
      <xdr:row>10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2667000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266700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556834</xdr:colOff>
      <xdr:row>2</xdr:row>
      <xdr:rowOff>132443</xdr:rowOff>
    </xdr:from>
    <xdr:to>
      <xdr:col>8</xdr:col>
      <xdr:colOff>1171725</xdr:colOff>
      <xdr:row>5</xdr:row>
      <xdr:rowOff>74689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1917" y="735693"/>
          <a:ext cx="1906058" cy="460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6" name="Line 6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337185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7" name="Line 6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337185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8" name="Line 6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337185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9" name="Line 6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337185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11</xdr:row>
      <xdr:rowOff>85725</xdr:rowOff>
    </xdr:from>
    <xdr:to>
      <xdr:col>5</xdr:col>
      <xdr:colOff>447675</xdr:colOff>
      <xdr:row>11</xdr:row>
      <xdr:rowOff>85725</xdr:rowOff>
    </xdr:to>
    <xdr:sp macro="" textlink="">
      <xdr:nvSpPr>
        <xdr:cNvPr id="10" name="Line 6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>
          <a:off x="3371850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8</xdr:row>
      <xdr:rowOff>104775</xdr:rowOff>
    </xdr:from>
    <xdr:to>
      <xdr:col>5</xdr:col>
      <xdr:colOff>447675</xdr:colOff>
      <xdr:row>8</xdr:row>
      <xdr:rowOff>104775</xdr:rowOff>
    </xdr:to>
    <xdr:sp macro="" textlink="">
      <xdr:nvSpPr>
        <xdr:cNvPr id="3" name="Line 6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3152775" y="16002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4" name="Line 6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3152775" y="1762125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5" name="Line 6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3152775" y="19050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581025</xdr:colOff>
      <xdr:row>2</xdr:row>
      <xdr:rowOff>19050</xdr:rowOff>
    </xdr:from>
    <xdr:to>
      <xdr:col>8</xdr:col>
      <xdr:colOff>1238250</xdr:colOff>
      <xdr:row>4</xdr:row>
      <xdr:rowOff>133350</xdr:rowOff>
    </xdr:to>
    <xdr:pic>
      <xdr:nvPicPr>
        <xdr:cNvPr id="6" name="Picture 1" descr="logoBN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429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8</xdr:row>
      <xdr:rowOff>104775</xdr:rowOff>
    </xdr:from>
    <xdr:to>
      <xdr:col>5</xdr:col>
      <xdr:colOff>447675</xdr:colOff>
      <xdr:row>8</xdr:row>
      <xdr:rowOff>104775</xdr:rowOff>
    </xdr:to>
    <xdr:sp macro="" textlink="">
      <xdr:nvSpPr>
        <xdr:cNvPr id="2" name="Line 61">
          <a:extLst>
            <a:ext uri="{FF2B5EF4-FFF2-40B4-BE49-F238E27FC236}">
              <a16:creationId xmlns:a16="http://schemas.microsoft.com/office/drawing/2014/main" id="{467F7425-C160-4499-823A-FCF4118DD5BE}"/>
            </a:ext>
          </a:extLst>
        </xdr:cNvPr>
        <xdr:cNvSpPr>
          <a:spLocks noChangeShapeType="1"/>
        </xdr:cNvSpPr>
      </xdr:nvSpPr>
      <xdr:spPr bwMode="auto">
        <a:xfrm>
          <a:off x="3127375" y="11303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9</xdr:row>
      <xdr:rowOff>104775</xdr:rowOff>
    </xdr:from>
    <xdr:to>
      <xdr:col>5</xdr:col>
      <xdr:colOff>447675</xdr:colOff>
      <xdr:row>9</xdr:row>
      <xdr:rowOff>104775</xdr:rowOff>
    </xdr:to>
    <xdr:sp macro="" textlink="">
      <xdr:nvSpPr>
        <xdr:cNvPr id="3" name="Line 62">
          <a:extLst>
            <a:ext uri="{FF2B5EF4-FFF2-40B4-BE49-F238E27FC236}">
              <a16:creationId xmlns:a16="http://schemas.microsoft.com/office/drawing/2014/main" id="{B561AF6B-F9F4-413C-B19A-6A7A455DF80E}"/>
            </a:ext>
          </a:extLst>
        </xdr:cNvPr>
        <xdr:cNvSpPr>
          <a:spLocks noChangeShapeType="1"/>
        </xdr:cNvSpPr>
      </xdr:nvSpPr>
      <xdr:spPr bwMode="auto">
        <a:xfrm>
          <a:off x="3127375" y="11303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10</xdr:row>
      <xdr:rowOff>85725</xdr:rowOff>
    </xdr:from>
    <xdr:to>
      <xdr:col>5</xdr:col>
      <xdr:colOff>447675</xdr:colOff>
      <xdr:row>10</xdr:row>
      <xdr:rowOff>85725</xdr:rowOff>
    </xdr:to>
    <xdr:sp macro="" textlink="">
      <xdr:nvSpPr>
        <xdr:cNvPr id="4" name="Line 63">
          <a:extLst>
            <a:ext uri="{FF2B5EF4-FFF2-40B4-BE49-F238E27FC236}">
              <a16:creationId xmlns:a16="http://schemas.microsoft.com/office/drawing/2014/main" id="{757D6563-9D22-411E-B0FD-2DBFBB9EA833}"/>
            </a:ext>
          </a:extLst>
        </xdr:cNvPr>
        <xdr:cNvSpPr>
          <a:spLocks noChangeShapeType="1"/>
        </xdr:cNvSpPr>
      </xdr:nvSpPr>
      <xdr:spPr bwMode="auto">
        <a:xfrm>
          <a:off x="3127375" y="1130300"/>
          <a:ext cx="36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581025</xdr:colOff>
      <xdr:row>2</xdr:row>
      <xdr:rowOff>19050</xdr:rowOff>
    </xdr:from>
    <xdr:to>
      <xdr:col>8</xdr:col>
      <xdr:colOff>1238250</xdr:colOff>
      <xdr:row>4</xdr:row>
      <xdr:rowOff>133350</xdr:rowOff>
    </xdr:to>
    <xdr:pic>
      <xdr:nvPicPr>
        <xdr:cNvPr id="5" name="Picture 1" descr="logoBN">
          <a:extLst>
            <a:ext uri="{FF2B5EF4-FFF2-40B4-BE49-F238E27FC236}">
              <a16:creationId xmlns:a16="http://schemas.microsoft.com/office/drawing/2014/main" id="{87514C34-27B4-4DAF-9BBC-674630DD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336550"/>
          <a:ext cx="19653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9"/>
  <sheetViews>
    <sheetView showGridLines="0" tabSelected="1" topLeftCell="B1" zoomScale="85" zoomScaleNormal="85" zoomScaleSheetLayoutView="85" workbookViewId="0">
      <selection activeCell="F11" sqref="F11:I11"/>
    </sheetView>
  </sheetViews>
  <sheetFormatPr baseColWidth="10" defaultColWidth="11.453125" defaultRowHeight="12.5" x14ac:dyDescent="0.25"/>
  <cols>
    <col min="1" max="1" width="0" style="1" hidden="1" customWidth="1"/>
    <col min="2" max="2" width="3.1796875" style="1" bestFit="1" customWidth="1"/>
    <col min="3" max="3" width="9.7265625" style="1" customWidth="1"/>
    <col min="4" max="4" width="14.453125" style="1" customWidth="1"/>
    <col min="5" max="5" width="10.54296875" style="1" hidden="1" customWidth="1"/>
    <col min="6" max="9" width="18.726562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3:20" x14ac:dyDescent="0.25">
      <c r="D1" s="2"/>
    </row>
    <row r="2" spans="3:20" ht="38.25" customHeight="1" x14ac:dyDescent="0.25">
      <c r="C2" s="43" t="s">
        <v>22</v>
      </c>
      <c r="D2" s="43"/>
      <c r="E2" s="43"/>
      <c r="F2" s="43"/>
      <c r="G2" s="43"/>
      <c r="H2" s="43"/>
      <c r="I2" s="43"/>
    </row>
    <row r="3" spans="3:20" ht="15" customHeight="1" x14ac:dyDescent="0.25">
      <c r="C3" s="43"/>
      <c r="D3" s="43"/>
      <c r="E3" s="43"/>
      <c r="F3" s="43"/>
      <c r="G3" s="43"/>
      <c r="H3" s="43"/>
      <c r="I3" s="43"/>
    </row>
    <row r="4" spans="3:20" ht="13" x14ac:dyDescent="0.3">
      <c r="C4" s="3" t="s">
        <v>20</v>
      </c>
      <c r="K4" s="1" t="s">
        <v>0</v>
      </c>
    </row>
    <row r="5" spans="3:20" x14ac:dyDescent="0.25">
      <c r="K5" s="1" t="s">
        <v>1</v>
      </c>
    </row>
    <row r="6" spans="3:20" s="40" customFormat="1" ht="15" customHeight="1" x14ac:dyDescent="0.25">
      <c r="C6" s="54" t="str">
        <f>IF((D17+SUM(E18:E117))&gt;46387,"No cumple condición crediticia:","")</f>
        <v/>
      </c>
      <c r="D6" s="54"/>
      <c r="E6" s="54"/>
      <c r="F6" s="54"/>
    </row>
    <row r="7" spans="3:20" s="40" customFormat="1" ht="18" hidden="1" customHeight="1" x14ac:dyDescent="0.25">
      <c r="C7" s="55" t="str">
        <f>IF(C6="No cumple condición crediticia:","Reducir plazo del préstamo","")</f>
        <v/>
      </c>
      <c r="D7" s="55"/>
      <c r="E7" s="55"/>
      <c r="F7" s="55"/>
    </row>
    <row r="8" spans="3:20" ht="15.75" customHeight="1" x14ac:dyDescent="0.25">
      <c r="C8" s="56" t="s">
        <v>0</v>
      </c>
      <c r="D8" s="57"/>
      <c r="E8" s="57"/>
      <c r="F8" s="57"/>
      <c r="G8" s="57"/>
      <c r="H8" s="57"/>
      <c r="I8" s="58"/>
    </row>
    <row r="9" spans="3:20" s="4" customFormat="1" ht="12.75" customHeight="1" x14ac:dyDescent="0.25">
      <c r="C9" s="59" t="s">
        <v>2</v>
      </c>
      <c r="D9" s="60"/>
      <c r="E9" s="60"/>
      <c r="F9" s="60"/>
      <c r="G9" s="60"/>
      <c r="H9" s="60"/>
      <c r="I9" s="60"/>
      <c r="J9" s="1"/>
      <c r="N9" s="1"/>
      <c r="O9" s="1"/>
    </row>
    <row r="10" spans="3:20" ht="15" customHeight="1" x14ac:dyDescent="0.25">
      <c r="C10" s="5" t="s">
        <v>3</v>
      </c>
      <c r="D10" s="6"/>
      <c r="E10" s="7"/>
      <c r="F10" s="61">
        <v>3000000</v>
      </c>
      <c r="G10" s="62"/>
      <c r="H10" s="62"/>
      <c r="I10" s="63"/>
      <c r="J10" s="8"/>
      <c r="K10" s="4"/>
      <c r="L10" s="9" t="s">
        <v>4</v>
      </c>
      <c r="M10" s="10" t="s">
        <v>5</v>
      </c>
      <c r="N10" s="44"/>
      <c r="O10" s="44"/>
      <c r="P10" s="44"/>
      <c r="Q10" s="44"/>
      <c r="R10" s="44"/>
      <c r="S10" s="44"/>
      <c r="T10" s="44"/>
    </row>
    <row r="11" spans="3:20" ht="15" customHeight="1" x14ac:dyDescent="0.25">
      <c r="C11" s="5" t="s">
        <v>6</v>
      </c>
      <c r="D11" s="6"/>
      <c r="E11" s="7"/>
      <c r="F11" s="64">
        <v>44</v>
      </c>
      <c r="G11" s="65"/>
      <c r="H11" s="65"/>
      <c r="I11" s="66"/>
      <c r="J11" s="8"/>
      <c r="K11" s="11">
        <f>IF($C$8="GOBIERNOS LOCALES",M11,L11)</f>
        <v>8.2500000000000004E-2</v>
      </c>
      <c r="L11" s="12">
        <f>IF($F$10&gt;1000000,7.75%,8.75%)</f>
        <v>7.7499999999999999E-2</v>
      </c>
      <c r="M11" s="12">
        <f>IF($F$10&gt;1000000,8.25%,9.25%)</f>
        <v>8.2500000000000004E-2</v>
      </c>
      <c r="N11" s="44"/>
      <c r="O11" s="44"/>
      <c r="P11" s="44"/>
      <c r="Q11" s="44"/>
      <c r="R11" s="44"/>
      <c r="S11" s="44"/>
      <c r="T11" s="44"/>
    </row>
    <row r="12" spans="3:20" ht="15" customHeight="1" x14ac:dyDescent="0.25">
      <c r="C12" s="5" t="s">
        <v>7</v>
      </c>
      <c r="D12" s="6"/>
      <c r="E12" s="7"/>
      <c r="F12" s="45">
        <v>45037</v>
      </c>
      <c r="G12" s="46"/>
      <c r="H12" s="46"/>
      <c r="I12" s="47"/>
      <c r="J12" s="13"/>
      <c r="K12" s="11">
        <f>IF($C$8="GOBIERNOS LOCALES",M12,L12)</f>
        <v>9.2499999999999999E-2</v>
      </c>
      <c r="L12" s="12">
        <f>IF($F$10&gt;1000000,8.25%,9.25%)</f>
        <v>8.2500000000000004E-2</v>
      </c>
      <c r="M12" s="12">
        <f>IF($F$10&gt;1000000,9.25%,10.25%)</f>
        <v>9.2499999999999999E-2</v>
      </c>
      <c r="N12" s="44"/>
      <c r="O12" s="44"/>
      <c r="P12" s="44"/>
      <c r="Q12" s="44"/>
      <c r="R12" s="44"/>
      <c r="S12" s="44"/>
      <c r="T12" s="44"/>
    </row>
    <row r="13" spans="3:20" x14ac:dyDescent="0.25">
      <c r="C13" s="5" t="s">
        <v>8</v>
      </c>
      <c r="D13" s="6"/>
      <c r="E13" s="7"/>
      <c r="F13" s="48">
        <f>IF(AND(F11&gt;=1,F11&lt;=12),K11,IF(AND(F11&lt;=24,F11&gt;12),K12,IF(AND(F11&lt;=36,F11&gt;24),K13,IF(AND(F11&lt;=60,F11&gt;36),K14,"No aplicable"))))</f>
        <v>0.1275</v>
      </c>
      <c r="G13" s="49"/>
      <c r="H13" s="49"/>
      <c r="I13" s="50"/>
      <c r="J13" s="14"/>
      <c r="K13" s="11">
        <f>IF($C$8="GOBIERNOS LOCALES",M13,L13)</f>
        <v>0.10249999999999999</v>
      </c>
      <c r="L13" s="12">
        <f>IF($F$10&gt;1000000,9.25%,10.25%)</f>
        <v>9.2499999999999999E-2</v>
      </c>
      <c r="M13" s="12">
        <f>IF($F$10&gt;1000000,10.25%,11.25%)</f>
        <v>0.10249999999999999</v>
      </c>
      <c r="N13" s="44"/>
      <c r="O13" s="44"/>
      <c r="P13" s="44"/>
      <c r="Q13" s="44"/>
      <c r="R13" s="44"/>
      <c r="S13" s="44"/>
      <c r="T13" s="44"/>
    </row>
    <row r="14" spans="3:20" hidden="1" x14ac:dyDescent="0.25">
      <c r="C14" s="5" t="s">
        <v>9</v>
      </c>
      <c r="D14" s="6"/>
      <c r="E14" s="7"/>
      <c r="F14" s="51">
        <f>((F13+1)^(1/360))-1</f>
        <v>3.3339665430021093E-4</v>
      </c>
      <c r="G14" s="52"/>
      <c r="H14" s="52"/>
      <c r="I14" s="53"/>
      <c r="K14" s="11">
        <f>IF($C$8="GOBIERNOS LOCALES",M14,L14)</f>
        <v>0.1275</v>
      </c>
      <c r="L14" s="12">
        <f>IF($F$10&gt;1000000,11.75%,12.75%)</f>
        <v>0.11749999999999999</v>
      </c>
      <c r="M14" s="12">
        <f>IF($F$10&gt;1000000,12.75%,13.75%)</f>
        <v>0.1275</v>
      </c>
    </row>
    <row r="15" spans="3:20" ht="10.5" customHeight="1" x14ac:dyDescent="0.25">
      <c r="I15" s="15"/>
    </row>
    <row r="16" spans="3:20" x14ac:dyDescent="0.25">
      <c r="C16" s="16" t="s">
        <v>10</v>
      </c>
      <c r="D16" s="16" t="s">
        <v>11</v>
      </c>
      <c r="E16" s="16" t="s">
        <v>12</v>
      </c>
      <c r="F16" s="16" t="s">
        <v>13</v>
      </c>
      <c r="G16" s="16" t="s">
        <v>14</v>
      </c>
      <c r="H16" s="16" t="s">
        <v>15</v>
      </c>
      <c r="I16" s="16" t="s">
        <v>16</v>
      </c>
      <c r="J16" s="17"/>
      <c r="K16" s="16" t="s">
        <v>9</v>
      </c>
    </row>
    <row r="17" spans="2:13" x14ac:dyDescent="0.25">
      <c r="B17" s="18">
        <v>0</v>
      </c>
      <c r="C17" s="19">
        <v>0</v>
      </c>
      <c r="D17" s="20">
        <f>+F12</f>
        <v>45037</v>
      </c>
      <c r="E17" s="20"/>
      <c r="F17" s="21">
        <v>0</v>
      </c>
      <c r="G17" s="21">
        <v>0</v>
      </c>
      <c r="H17" s="21">
        <v>0</v>
      </c>
      <c r="I17" s="17">
        <f>+F10</f>
        <v>3000000</v>
      </c>
      <c r="K17" s="22"/>
    </row>
    <row r="18" spans="2:13" x14ac:dyDescent="0.25">
      <c r="B18" s="18">
        <v>1</v>
      </c>
      <c r="C18" s="19">
        <f>IF(B18&lt;=$F$11,B18,"")</f>
        <v>1</v>
      </c>
      <c r="D18" s="20">
        <f>IF(C17=$F$11,"Totales",IF(B18&lt;=$F$11,DATE(IF(MONTH(D17)=20,YEAR(D17)+1,YEAR(D17)),IF(MONTH(D17)=20,1,IF(DAY(D17)&lt;10,MONTH(D17),MONTH(D17)+1)),20),""))</f>
        <v>45066</v>
      </c>
      <c r="E18" s="23">
        <f t="shared" ref="E18:E63" si="0">IF(C18=B18,D18-D17,"")</f>
        <v>29</v>
      </c>
      <c r="F18" s="17">
        <f>IF(C17=$F$11,SUM($F17:F$18),IF(C18=B18,IF(C18=$F$11,I17,ROUND(H18-G18,2)),""))</f>
        <v>55811.03</v>
      </c>
      <c r="G18" s="17">
        <f>IF(C17=$F$11,SUM($G17:G$18),IF(C18=B18,ROUND(((($F$13+1)^((D18-D17)/360))-1)*I17,2),""))</f>
        <v>29141.3</v>
      </c>
      <c r="H18" s="17">
        <f>IF(C17=$F$11,SUM($H17:H$18),IF(C18=B18,IF(C18=$F$11,F18+G18,ROUND($I$17/VLOOKUP("Totales",$D$18:$K$117,8,FALSE),2)),""))</f>
        <v>84952.33</v>
      </c>
      <c r="I18" s="17">
        <f>IF(C18=B18,ROUND(I17-F18,2),"")</f>
        <v>2944188.97</v>
      </c>
      <c r="J18" s="24"/>
      <c r="K18" s="25">
        <f>IF(C17=$F$11,SUM($K17:K$18),IF(C18=B18,1/((1+$F$14)^SUM($E$18:E18)),""))</f>
        <v>0.990379682590387</v>
      </c>
      <c r="L18" s="26"/>
      <c r="M18" s="26"/>
    </row>
    <row r="19" spans="2:13" x14ac:dyDescent="0.25">
      <c r="B19" s="18">
        <v>2</v>
      </c>
      <c r="C19" s="19">
        <f t="shared" ref="C19:C82" si="1">IF(B19&lt;=$F$11,B19,"")</f>
        <v>2</v>
      </c>
      <c r="D19" s="20">
        <f t="shared" ref="D19:D82" si="2">IF(C18=$F$11,"Totales",IF(B19&lt;=$F$11,DATE(IF(MONTH(D18)=20,YEAR(D18)+1,YEAR(D18)),IF(MONTH(D18)=20,1,IF(DAY(D18)&lt;10,MONTH(D18),MONTH(D18)+1)),20),""))</f>
        <v>45097</v>
      </c>
      <c r="E19" s="23">
        <f t="shared" si="0"/>
        <v>31</v>
      </c>
      <c r="F19" s="17">
        <f>IF(C18=$F$11,SUM($F$18:F18),IF(C19=B19,IF(C19=$F$11,I18,ROUND(H19-G19,2)),""))</f>
        <v>54370.6</v>
      </c>
      <c r="G19" s="17">
        <f>IF(C18=$F$11,SUM($G$18:G18),IF(C19=B19,ROUND(((($F$13+1)^((D19-D18)/360))-1)*I18,2),""))</f>
        <v>30581.73</v>
      </c>
      <c r="H19" s="17">
        <f>IF(C18=$F$11,SUM($H18:H$18),IF(C19=B19,IF(C19=$F$11,F19+G19,ROUND($I$17/VLOOKUP("Totales",$D$18:$K$117,8,FALSE),2)),""))</f>
        <v>84952.33</v>
      </c>
      <c r="I19" s="17">
        <f t="shared" ref="I19:I66" si="3">IF(C19=B19,ROUND(I18-F19,2),"")</f>
        <v>2889818.37</v>
      </c>
      <c r="J19" s="24"/>
      <c r="K19" s="25">
        <f>IF(C18=$F$11,SUM($K$18:K18),IF(C19=B19,1/((1+$F$14)^SUM($E$18:E19)),""))</f>
        <v>0.98019821712326038</v>
      </c>
      <c r="L19" s="26"/>
    </row>
    <row r="20" spans="2:13" x14ac:dyDescent="0.25">
      <c r="B20" s="18">
        <v>3</v>
      </c>
      <c r="C20" s="19">
        <f t="shared" si="1"/>
        <v>3</v>
      </c>
      <c r="D20" s="20">
        <f t="shared" si="2"/>
        <v>45127</v>
      </c>
      <c r="E20" s="23">
        <f t="shared" si="0"/>
        <v>30</v>
      </c>
      <c r="F20" s="17">
        <f>IF(C19=$F$11,SUM($F$18:F19),IF(C20=B20,IF(C20=$F$11,I19,ROUND(H20-G20,2)),""))</f>
        <v>55908.49</v>
      </c>
      <c r="G20" s="17">
        <f>IF(C19=$F$11,SUM($G$18:G19),IF(C20=B20,ROUND(((($F$13+1)^((D20-D19)/360))-1)*I19,2),""))</f>
        <v>29043.84</v>
      </c>
      <c r="H20" s="17">
        <f>IF(C19=$F$11,SUM($H$18:H19),IF(C20=B20,IF(C20=$F$11,F20+G20,ROUND($I$17/VLOOKUP("Totales",$D$18:$K$117,8,FALSE),2)),""))</f>
        <v>84952.33</v>
      </c>
      <c r="I20" s="17">
        <f t="shared" si="3"/>
        <v>2833909.88</v>
      </c>
      <c r="J20" s="24"/>
      <c r="K20" s="25">
        <f>IF(C19=$F$11,SUM($K$18:K19),IF(C20=B20,1/((1+$F$14)^SUM($E$18:E20)),""))</f>
        <v>0.97044485608199704</v>
      </c>
      <c r="L20" s="26"/>
    </row>
    <row r="21" spans="2:13" x14ac:dyDescent="0.25">
      <c r="B21" s="18">
        <v>4</v>
      </c>
      <c r="C21" s="19">
        <f t="shared" si="1"/>
        <v>4</v>
      </c>
      <c r="D21" s="20">
        <f t="shared" si="2"/>
        <v>45158</v>
      </c>
      <c r="E21" s="23">
        <f t="shared" si="0"/>
        <v>31</v>
      </c>
      <c r="F21" s="17">
        <f>IF(C20=$F$11,SUM($F$18:F20),IF(C21=B21,IF(C21=$F$11,I20,ROUND(H21-G21,2)),""))</f>
        <v>55516.08</v>
      </c>
      <c r="G21" s="17">
        <f>IF(C20=$F$11,SUM($G$18:G20),IF(C21=B21,ROUND(((($F$13+1)^((D21-D20)/360))-1)*I20,2),""))</f>
        <v>29436.25</v>
      </c>
      <c r="H21" s="17">
        <f>IF(C20=$F$11,SUM($H$18:H20),IF(C21=B21,IF(C21=$F$11,F21+G21,ROUND($I$17/VLOOKUP("Totales",$D$18:$K$117,8,FALSE),2)),""))</f>
        <v>84952.33</v>
      </c>
      <c r="I21" s="17">
        <f t="shared" si="3"/>
        <v>2778393.8</v>
      </c>
      <c r="J21" s="24"/>
      <c r="K21" s="25">
        <f>IF(C20=$F$11,SUM($K$18:K20),IF(C21=B21,1/((1+$F$14)^SUM($E$18:E21)),""))</f>
        <v>0.96046832792452685</v>
      </c>
      <c r="L21" s="26"/>
    </row>
    <row r="22" spans="2:13" x14ac:dyDescent="0.25">
      <c r="B22" s="18">
        <v>5</v>
      </c>
      <c r="C22" s="19">
        <f t="shared" si="1"/>
        <v>5</v>
      </c>
      <c r="D22" s="20">
        <f t="shared" si="2"/>
        <v>45189</v>
      </c>
      <c r="E22" s="23">
        <f t="shared" si="0"/>
        <v>31</v>
      </c>
      <c r="F22" s="17">
        <f>IF(C21=$F$11,SUM($F$18:F21),IF(C22=B22,IF(C22=$F$11,I21,ROUND(H22-G22,2)),""))</f>
        <v>56092.74</v>
      </c>
      <c r="G22" s="17">
        <f>IF(C21=$F$11,SUM($G$18:G21),IF(C22=B22,ROUND(((($F$13+1)^((D22-D21)/360))-1)*I21,2),""))</f>
        <v>28859.59</v>
      </c>
      <c r="H22" s="17">
        <f>IF(C21=$F$11,SUM($H$18:H21),IF(C22=B22,IF(C22=$F$11,F22+G22,ROUND($I$17/VLOOKUP("Totales",$D$18:$K$117,8,FALSE),2)),""))</f>
        <v>84952.33</v>
      </c>
      <c r="I22" s="17">
        <f t="shared" si="3"/>
        <v>2722301.06</v>
      </c>
      <c r="J22" s="24"/>
      <c r="K22" s="25">
        <f>IF(C21=$F$11,SUM($K$18:K21),IF(C22=B22,1/((1+$F$14)^SUM($E$18:E22)),""))</f>
        <v>0.95059436212642556</v>
      </c>
      <c r="L22" s="26"/>
    </row>
    <row r="23" spans="2:13" x14ac:dyDescent="0.25">
      <c r="B23" s="18">
        <v>6</v>
      </c>
      <c r="C23" s="19">
        <f t="shared" si="1"/>
        <v>6</v>
      </c>
      <c r="D23" s="20">
        <f t="shared" si="2"/>
        <v>45219</v>
      </c>
      <c r="E23" s="23">
        <f t="shared" si="0"/>
        <v>30</v>
      </c>
      <c r="F23" s="17">
        <f>IF(C22=$F$11,SUM($F$18:F22),IF(C23=B23,IF(C23=$F$11,I22,ROUND(H23-G23,2)),""))</f>
        <v>57592.11</v>
      </c>
      <c r="G23" s="17">
        <f>IF(C22=$F$11,SUM($G$18:G22),IF(C23=B23,ROUND(((($F$13+1)^((D23-D22)/360))-1)*I22,2),""))</f>
        <v>27360.22</v>
      </c>
      <c r="H23" s="17">
        <f>IF(C22=$F$11,SUM($H$18:H22),IF(C23=B23,IF(C23=$F$11,F23+G23,ROUND($I$17/VLOOKUP("Totales",$D$18:$K$117,8,FALSE),2)),""))</f>
        <v>84952.33</v>
      </c>
      <c r="I23" s="17">
        <f t="shared" si="3"/>
        <v>2664708.9500000002</v>
      </c>
      <c r="J23" s="24"/>
      <c r="K23" s="25">
        <f>IF(C22=$F$11,SUM($K$18:K22),IF(C23=B23,1/((1+$F$14)^SUM($E$18:E23)),""))</f>
        <v>0.94113557118430513</v>
      </c>
      <c r="L23" s="26"/>
    </row>
    <row r="24" spans="2:13" x14ac:dyDescent="0.25">
      <c r="B24" s="18">
        <v>7</v>
      </c>
      <c r="C24" s="19">
        <f t="shared" si="1"/>
        <v>7</v>
      </c>
      <c r="D24" s="20">
        <f t="shared" si="2"/>
        <v>45250</v>
      </c>
      <c r="E24" s="23">
        <f t="shared" si="0"/>
        <v>31</v>
      </c>
      <c r="F24" s="17">
        <f>IF(C23=$F$11,SUM($F$18:F23),IF(C24=B24,IF(C24=$F$11,I23,ROUND(H24-G24,2)),""))</f>
        <v>57273.599999999999</v>
      </c>
      <c r="G24" s="17">
        <f>IF(C23=$F$11,SUM($G$18:G23),IF(C24=B24,ROUND(((($F$13+1)^((D24-D23)/360))-1)*I23,2),""))</f>
        <v>27678.73</v>
      </c>
      <c r="H24" s="17">
        <f>IF(C23=$F$11,SUM($H$18:H23),IF(C24=B24,IF(C24=$F$11,F24+G24,ROUND($I$17/VLOOKUP("Totales",$D$18:$K$117,8,FALSE),2)),""))</f>
        <v>84952.33</v>
      </c>
      <c r="I24" s="17">
        <f t="shared" si="3"/>
        <v>2607435.35</v>
      </c>
      <c r="J24" s="24"/>
      <c r="K24" s="25">
        <f>IF(C23=$F$11,SUM($K$18:K23),IF(C24=B24,1/((1+$F$14)^SUM($E$18:E24)),""))</f>
        <v>0.93146035319837572</v>
      </c>
      <c r="L24" s="26"/>
    </row>
    <row r="25" spans="2:13" x14ac:dyDescent="0.25">
      <c r="B25" s="18">
        <v>8</v>
      </c>
      <c r="C25" s="19">
        <f t="shared" si="1"/>
        <v>8</v>
      </c>
      <c r="D25" s="20">
        <f t="shared" si="2"/>
        <v>45280</v>
      </c>
      <c r="E25" s="23">
        <f t="shared" si="0"/>
        <v>30</v>
      </c>
      <c r="F25" s="17">
        <f>IF(C24=$F$11,SUM($F$18:F24),IF(C25=B25,IF(C25=$F$11,I24,ROUND(H25-G25,2)),""))</f>
        <v>58746.559999999998</v>
      </c>
      <c r="G25" s="17">
        <f>IF(C24=$F$11,SUM($G$18:G24),IF(C25=B25,ROUND(((($F$13+1)^((D25-D24)/360))-1)*I24,2),""))</f>
        <v>26205.77</v>
      </c>
      <c r="H25" s="17">
        <f>IF(C24=$F$11,SUM($H$18:H24),IF(C25=B25,IF(C25=$F$11,F25+G25,ROUND($I$17/VLOOKUP("Totales",$D$18:$K$117,8,FALSE),2)),""))</f>
        <v>84952.33</v>
      </c>
      <c r="I25" s="17">
        <f t="shared" si="3"/>
        <v>2548688.79</v>
      </c>
      <c r="J25" s="24"/>
      <c r="K25" s="25">
        <f>IF(C24=$F$11,SUM($K$18:K24),IF(C25=B25,1/((1+$F$14)^SUM($E$18:E25)),""))</f>
        <v>0.92219195323430603</v>
      </c>
      <c r="L25" s="26"/>
    </row>
    <row r="26" spans="2:13" x14ac:dyDescent="0.25">
      <c r="B26" s="18">
        <v>9</v>
      </c>
      <c r="C26" s="19">
        <f t="shared" si="1"/>
        <v>9</v>
      </c>
      <c r="D26" s="20">
        <f t="shared" si="2"/>
        <v>45311</v>
      </c>
      <c r="E26" s="23">
        <f t="shared" si="0"/>
        <v>31</v>
      </c>
      <c r="F26" s="17">
        <f>IF(C25=$F$11,SUM($F$18:F25),IF(C26=B26,IF(C26=$F$11,I25,ROUND(H26-G26,2)),""))</f>
        <v>58478.720000000001</v>
      </c>
      <c r="G26" s="17">
        <f>IF(C25=$F$11,SUM($G$18:G25),IF(C26=B26,ROUND(((($F$13+1)^((D26-D25)/360))-1)*I25,2),""))</f>
        <v>26473.61</v>
      </c>
      <c r="H26" s="17">
        <f>IF(C25=$F$11,SUM($H$18:H25),IF(C26=B26,IF(C26=$F$11,F26+G26,ROUND($I$17/VLOOKUP("Totales",$D$18:$K$117,8,FALSE),2)),""))</f>
        <v>84952.33</v>
      </c>
      <c r="I26" s="17">
        <f t="shared" si="3"/>
        <v>2490210.0699999998</v>
      </c>
      <c r="J26" s="24"/>
      <c r="K26" s="25">
        <f>IF(C25=$F$11,SUM($K$18:K25),IF(C26=B26,1/((1+$F$14)^SUM($E$18:E26)),""))</f>
        <v>0.91271148257141976</v>
      </c>
      <c r="L26" s="26"/>
    </row>
    <row r="27" spans="2:13" x14ac:dyDescent="0.25">
      <c r="B27" s="18">
        <v>10</v>
      </c>
      <c r="C27" s="19">
        <f t="shared" si="1"/>
        <v>10</v>
      </c>
      <c r="D27" s="20">
        <f t="shared" si="2"/>
        <v>45342</v>
      </c>
      <c r="E27" s="23">
        <f t="shared" si="0"/>
        <v>31</v>
      </c>
      <c r="F27" s="17">
        <f>IF(C26=$F$11,SUM($F$18:F26),IF(C27=B27,IF(C27=$F$11,I26,ROUND(H27-G27,2)),""))</f>
        <v>59086.15</v>
      </c>
      <c r="G27" s="17">
        <f>IF(C26=$F$11,SUM($G$18:G26),IF(C27=B27,ROUND(((($F$13+1)^((D27-D26)/360))-1)*I26,2),""))</f>
        <v>25866.18</v>
      </c>
      <c r="H27" s="17">
        <f>IF(C26=$F$11,SUM($H$18:H26),IF(C27=B27,IF(C27=$F$11,F27+G27,ROUND($I$17/VLOOKUP("Totales",$D$18:$K$117,8,FALSE),2)),""))</f>
        <v>84952.33</v>
      </c>
      <c r="I27" s="17">
        <f t="shared" si="3"/>
        <v>2431123.92</v>
      </c>
      <c r="J27" s="24"/>
      <c r="K27" s="25">
        <f>IF(C26=$F$11,SUM($K$18:K26),IF(C27=B27,1/((1+$F$14)^SUM($E$18:E27)),""))</f>
        <v>0.90332847461537502</v>
      </c>
      <c r="L27" s="26"/>
    </row>
    <row r="28" spans="2:13" x14ac:dyDescent="0.25">
      <c r="B28" s="18">
        <v>11</v>
      </c>
      <c r="C28" s="19">
        <f t="shared" si="1"/>
        <v>11</v>
      </c>
      <c r="D28" s="20">
        <f t="shared" si="2"/>
        <v>45371</v>
      </c>
      <c r="E28" s="23">
        <f t="shared" si="0"/>
        <v>29</v>
      </c>
      <c r="F28" s="17">
        <f>IF(C27=$F$11,SUM($F$18:F27),IF(C28=B28,IF(C28=$F$11,I27,ROUND(H28-G28,2)),""))</f>
        <v>61336.959999999999</v>
      </c>
      <c r="G28" s="17">
        <f>IF(C27=$F$11,SUM($G$18:G27),IF(C28=B28,ROUND(((($F$13+1)^((D28-D27)/360))-1)*I27,2),""))</f>
        <v>23615.37</v>
      </c>
      <c r="H28" s="17">
        <f>IF(C27=$F$11,SUM($H$18:H27),IF(C28=B28,IF(C28=$F$11,F28+G28,ROUND($I$17/VLOOKUP("Totales",$D$18:$K$117,8,FALSE),2)),""))</f>
        <v>84952.33</v>
      </c>
      <c r="I28" s="17">
        <f t="shared" si="3"/>
        <v>2369786.96</v>
      </c>
      <c r="J28" s="24"/>
      <c r="K28" s="25">
        <f>IF(C27=$F$11,SUM($K$18:K27),IF(C28=B28,1/((1+$F$14)^SUM($E$18:E28)),""))</f>
        <v>0.8946381679644333</v>
      </c>
      <c r="L28" s="26"/>
    </row>
    <row r="29" spans="2:13" x14ac:dyDescent="0.25">
      <c r="B29" s="18">
        <v>12</v>
      </c>
      <c r="C29" s="19">
        <f t="shared" si="1"/>
        <v>12</v>
      </c>
      <c r="D29" s="20">
        <f t="shared" si="2"/>
        <v>45402</v>
      </c>
      <c r="E29" s="23">
        <f t="shared" si="0"/>
        <v>31</v>
      </c>
      <c r="F29" s="17">
        <f>IF(C28=$F$11,SUM($F$18:F28),IF(C29=B29,IF(C29=$F$11,I28,ROUND(H29-G29,2)),""))</f>
        <v>60337</v>
      </c>
      <c r="G29" s="17">
        <f>IF(C28=$F$11,SUM($G$18:G28),IF(C29=B29,ROUND(((($F$13+1)^((D29-D28)/360))-1)*I28,2),""))</f>
        <v>24615.33</v>
      </c>
      <c r="H29" s="17">
        <f>IF(C28=$F$11,SUM($H$18:H28),IF(C29=B29,IF(C29=$F$11,F29+G29,ROUND($I$17/VLOOKUP("Totales",$D$18:$K$117,8,FALSE),2)),""))</f>
        <v>84952.33</v>
      </c>
      <c r="I29" s="17">
        <f t="shared" si="3"/>
        <v>2309449.96</v>
      </c>
      <c r="J29" s="24"/>
      <c r="K29" s="25">
        <f>IF(C28=$F$11,SUM($K$18:K28),IF(C29=B29,1/((1+$F$14)^SUM($E$18:E29)),""))</f>
        <v>0.88544096029466501</v>
      </c>
      <c r="L29" s="26"/>
    </row>
    <row r="30" spans="2:13" x14ac:dyDescent="0.25">
      <c r="B30" s="18">
        <v>13</v>
      </c>
      <c r="C30" s="19">
        <f t="shared" si="1"/>
        <v>13</v>
      </c>
      <c r="D30" s="20">
        <f t="shared" si="2"/>
        <v>45432</v>
      </c>
      <c r="E30" s="23">
        <f t="shared" si="0"/>
        <v>30</v>
      </c>
      <c r="F30" s="17">
        <f>IF(C29=$F$11,SUM($F$18:F29),IF(C30=B30,IF(C30=$F$11,I29,ROUND(H30-G30,2)),""))</f>
        <v>61741.43</v>
      </c>
      <c r="G30" s="17">
        <f>IF(C29=$F$11,SUM($G$18:G29),IF(C30=B30,ROUND(((($F$13+1)^((D30-D29)/360))-1)*I29,2),""))</f>
        <v>23210.9</v>
      </c>
      <c r="H30" s="17">
        <f>IF(C29=$F$11,SUM($H$18:H29),IF(C30=B30,IF(C30=$F$11,F30+G30,ROUND($I$17/VLOOKUP("Totales",$D$18:$K$117,8,FALSE),2)),""))</f>
        <v>84952.33</v>
      </c>
      <c r="I30" s="17">
        <f t="shared" si="3"/>
        <v>2247708.5299999998</v>
      </c>
      <c r="J30" s="24"/>
      <c r="K30" s="25">
        <f>IF(C29=$F$11,SUM($K$18:K29),IF(C30=B30,1/((1+$F$14)^SUM($E$18:E30)),""))</f>
        <v>0.87663047154288765</v>
      </c>
      <c r="L30" s="26"/>
    </row>
    <row r="31" spans="2:13" x14ac:dyDescent="0.25">
      <c r="B31" s="18">
        <v>14</v>
      </c>
      <c r="C31" s="19">
        <f t="shared" si="1"/>
        <v>14</v>
      </c>
      <c r="D31" s="20">
        <f t="shared" si="2"/>
        <v>45463</v>
      </c>
      <c r="E31" s="23">
        <f t="shared" si="0"/>
        <v>31</v>
      </c>
      <c r="F31" s="17">
        <f>IF(C30=$F$11,SUM($F$18:F30),IF(C31=B31,IF(C31=$F$11,I30,ROUND(H31-G31,2)),""))</f>
        <v>61605.05</v>
      </c>
      <c r="G31" s="17">
        <f>IF(C30=$F$11,SUM($G$18:G30),IF(C31=B31,ROUND(((($F$13+1)^((D31-D30)/360))-1)*I30,2),""))</f>
        <v>23347.279999999999</v>
      </c>
      <c r="H31" s="17">
        <f>IF(C30=$F$11,SUM($H$18:H30),IF(C31=B31,IF(C31=$F$11,F31+G31,ROUND($I$17/VLOOKUP("Totales",$D$18:$K$117,8,FALSE),2)),""))</f>
        <v>84952.33</v>
      </c>
      <c r="I31" s="17">
        <f t="shared" si="3"/>
        <v>2186103.48</v>
      </c>
      <c r="J31" s="24"/>
      <c r="K31" s="25">
        <f>IF(C30=$F$11,SUM($K$18:K30),IF(C31=B31,1/((1+$F$14)^SUM($E$18:E31)),""))</f>
        <v>0.86761838958044268</v>
      </c>
      <c r="L31" s="26"/>
    </row>
    <row r="32" spans="2:13" x14ac:dyDescent="0.25">
      <c r="B32" s="18">
        <v>15</v>
      </c>
      <c r="C32" s="19">
        <f t="shared" si="1"/>
        <v>15</v>
      </c>
      <c r="D32" s="20">
        <f t="shared" si="2"/>
        <v>45493</v>
      </c>
      <c r="E32" s="23">
        <f t="shared" si="0"/>
        <v>30</v>
      </c>
      <c r="F32" s="17">
        <f>IF(C31=$F$11,SUM($F$18:F31),IF(C32=B32,IF(C32=$F$11,I31,ROUND(H32-G32,2)),""))</f>
        <v>62981.11</v>
      </c>
      <c r="G32" s="17">
        <f>IF(C31=$F$11,SUM($G$18:G31),IF(C32=B32,ROUND(((($F$13+1)^((D32-D31)/360))-1)*I31,2),""))</f>
        <v>21971.22</v>
      </c>
      <c r="H32" s="17">
        <f>IF(C31=$F$11,SUM($H$18:H31),IF(C32=B32,IF(C32=$F$11,F32+G32,ROUND($I$17/VLOOKUP("Totales",$D$18:$K$117,8,FALSE),2)),""))</f>
        <v>84952.33</v>
      </c>
      <c r="I32" s="17">
        <f t="shared" si="3"/>
        <v>2123122.37</v>
      </c>
      <c r="J32" s="17"/>
      <c r="K32" s="25">
        <f>IF(C31=$F$11,SUM($K$18:K31),IF(C32=B32,1/((1+$F$14)^SUM($E$18:E32)),""))</f>
        <v>0.85898524247632679</v>
      </c>
    </row>
    <row r="33" spans="2:11" x14ac:dyDescent="0.25">
      <c r="B33" s="18">
        <v>16</v>
      </c>
      <c r="C33" s="19">
        <f t="shared" si="1"/>
        <v>16</v>
      </c>
      <c r="D33" s="20">
        <f t="shared" si="2"/>
        <v>45524</v>
      </c>
      <c r="E33" s="23">
        <f t="shared" si="0"/>
        <v>31</v>
      </c>
      <c r="F33" s="17">
        <f>IF(C32=$F$11,SUM($F$18:F32),IF(C33=B33,IF(C33=$F$11,I32,ROUND(H33-G33,2)),""))</f>
        <v>62899.14</v>
      </c>
      <c r="G33" s="17">
        <f>IF(C32=$F$11,SUM($G$18:G32),IF(C33=B33,ROUND(((($F$13+1)^((D33-D32)/360))-1)*I32,2),""))</f>
        <v>22053.19</v>
      </c>
      <c r="H33" s="17">
        <f>IF(C32=$F$11,SUM($H$18:H32),IF(C33=B33,IF(C33=$F$11,F33+G33,ROUND($I$17/VLOOKUP("Totales",$D$18:$K$117,8,FALSE),2)),""))</f>
        <v>84952.33</v>
      </c>
      <c r="I33" s="17">
        <f t="shared" si="3"/>
        <v>2060223.23</v>
      </c>
      <c r="J33" s="17"/>
      <c r="K33" s="25">
        <f>IF(C32=$F$11,SUM($K$18:K32),IF(C33=B33,1/((1+$F$14)^SUM($E$18:E33)),""))</f>
        <v>0.85015455992418776</v>
      </c>
    </row>
    <row r="34" spans="2:11" x14ac:dyDescent="0.25">
      <c r="B34" s="18">
        <v>17</v>
      </c>
      <c r="C34" s="19">
        <f t="shared" si="1"/>
        <v>17</v>
      </c>
      <c r="D34" s="20">
        <f t="shared" si="2"/>
        <v>45555</v>
      </c>
      <c r="E34" s="23">
        <f t="shared" si="0"/>
        <v>31</v>
      </c>
      <c r="F34" s="17">
        <f>IF(C33=$F$11,SUM($F$18:F33),IF(C34=B34,IF(C34=$F$11,I33,ROUND(H34-G34,2)),""))</f>
        <v>63552.480000000003</v>
      </c>
      <c r="G34" s="17">
        <f>IF(C33=$F$11,SUM($G$18:G33),IF(C34=B34,ROUND(((($F$13+1)^((D34-D33)/360))-1)*I33,2),""))</f>
        <v>21399.85</v>
      </c>
      <c r="H34" s="17">
        <f>IF(C33=$F$11,SUM($H$18:H33),IF(C34=B34,IF(C34=$F$11,F34+G34,ROUND($I$17/VLOOKUP("Totales",$D$18:$K$117,8,FALSE),2)),""))</f>
        <v>84952.33</v>
      </c>
      <c r="I34" s="17">
        <f t="shared" si="3"/>
        <v>1996670.75</v>
      </c>
      <c r="J34" s="17"/>
      <c r="K34" s="25">
        <f>IF(C33=$F$11,SUM($K$18:K33),IF(C34=B34,1/((1+$F$14)^SUM($E$18:E34)),""))</f>
        <v>0.84141466001938714</v>
      </c>
    </row>
    <row r="35" spans="2:11" x14ac:dyDescent="0.25">
      <c r="B35" s="18">
        <v>18</v>
      </c>
      <c r="C35" s="19">
        <f t="shared" si="1"/>
        <v>18</v>
      </c>
      <c r="D35" s="20">
        <f t="shared" si="2"/>
        <v>45585</v>
      </c>
      <c r="E35" s="23">
        <f t="shared" si="0"/>
        <v>30</v>
      </c>
      <c r="F35" s="17">
        <f>IF(C34=$F$11,SUM($F$18:F34),IF(C35=B35,IF(C35=$F$11,I34,ROUND(H35-G35,2)),""))</f>
        <v>64884.99</v>
      </c>
      <c r="G35" s="17">
        <f>IF(C34=$F$11,SUM($G$18:G34),IF(C35=B35,ROUND(((($F$13+1)^((D35-D34)/360))-1)*I34,2),""))</f>
        <v>20067.34</v>
      </c>
      <c r="H35" s="17">
        <f>IF(C34=$F$11,SUM($H$18:H34),IF(C35=B35,IF(C35=$F$11,F35+G35,ROUND($I$17/VLOOKUP("Totales",$D$18:$K$117,8,FALSE),2)),""))</f>
        <v>84952.33</v>
      </c>
      <c r="I35" s="17">
        <f t="shared" si="3"/>
        <v>1931785.76</v>
      </c>
      <c r="J35" s="17"/>
      <c r="K35" s="25">
        <f>IF(C34=$F$11,SUM($K$18:K34),IF(C35=B35,1/((1+$F$14)^SUM($E$18:E35)),""))</f>
        <v>0.83304225041771884</v>
      </c>
    </row>
    <row r="36" spans="2:11" x14ac:dyDescent="0.25">
      <c r="B36" s="18">
        <v>19</v>
      </c>
      <c r="C36" s="19">
        <f t="shared" si="1"/>
        <v>19</v>
      </c>
      <c r="D36" s="20">
        <f t="shared" si="2"/>
        <v>45616</v>
      </c>
      <c r="E36" s="23">
        <f t="shared" si="0"/>
        <v>31</v>
      </c>
      <c r="F36" s="17">
        <f>IF(C35=$F$11,SUM($F$18:F35),IF(C36=B36,IF(C36=$F$11,I35,ROUND(H36-G36,2)),""))</f>
        <v>64886.58</v>
      </c>
      <c r="G36" s="17">
        <f>IF(C35=$F$11,SUM($G$18:G35),IF(C36=B36,ROUND(((($F$13+1)^((D36-D35)/360))-1)*I35,2),""))</f>
        <v>20065.75</v>
      </c>
      <c r="H36" s="17">
        <f>IF(C35=$F$11,SUM($H$18:H35),IF(C36=B36,IF(C36=$F$11,F36+G36,ROUND($I$17/VLOOKUP("Totales",$D$18:$K$117,8,FALSE),2)),""))</f>
        <v>84952.33</v>
      </c>
      <c r="I36" s="17">
        <f t="shared" si="3"/>
        <v>1866899.18</v>
      </c>
      <c r="J36" s="17"/>
      <c r="K36" s="25">
        <f>IF(C35=$F$11,SUM($K$18:K35),IF(C36=B36,1/((1+$F$14)^SUM($E$18:E36)),""))</f>
        <v>0.82447827131517781</v>
      </c>
    </row>
    <row r="37" spans="2:11" x14ac:dyDescent="0.25">
      <c r="B37" s="18">
        <v>20</v>
      </c>
      <c r="C37" s="19">
        <f t="shared" si="1"/>
        <v>20</v>
      </c>
      <c r="D37" s="20">
        <f t="shared" si="2"/>
        <v>45646</v>
      </c>
      <c r="E37" s="23">
        <f t="shared" si="0"/>
        <v>30</v>
      </c>
      <c r="F37" s="17">
        <f>IF(C36=$F$11,SUM($F$18:F36),IF(C37=B37,IF(C37=$F$11,I36,ROUND(H37-G37,2)),""))</f>
        <v>66189.240000000005</v>
      </c>
      <c r="G37" s="17">
        <f>IF(C36=$F$11,SUM($G$18:G36),IF(C37=B37,ROUND(((($F$13+1)^((D37-D36)/360))-1)*I36,2),""))</f>
        <v>18763.09</v>
      </c>
      <c r="H37" s="17">
        <f>IF(C36=$F$11,SUM($H$18:H36),IF(C37=B37,IF(C37=$F$11,F37+G37,ROUND($I$17/VLOOKUP("Totales",$D$18:$K$117,8,FALSE),2)),""))</f>
        <v>84952.33</v>
      </c>
      <c r="I37" s="17">
        <f t="shared" si="3"/>
        <v>1800709.94</v>
      </c>
      <c r="J37" s="17"/>
      <c r="K37" s="25">
        <f>IF(C36=$F$11,SUM($K$18:K36),IF(C37=B37,1/((1+$F$14)^SUM($E$18:E37)),""))</f>
        <v>0.81627438549868048</v>
      </c>
    </row>
    <row r="38" spans="2:11" x14ac:dyDescent="0.25">
      <c r="B38" s="18">
        <v>21</v>
      </c>
      <c r="C38" s="19">
        <f t="shared" si="1"/>
        <v>21</v>
      </c>
      <c r="D38" s="20">
        <f t="shared" si="2"/>
        <v>45677</v>
      </c>
      <c r="E38" s="23">
        <f t="shared" si="0"/>
        <v>31</v>
      </c>
      <c r="F38" s="17">
        <f>IF(C37=$F$11,SUM($F$18:F37),IF(C38=B38,IF(C38=$F$11,I37,ROUND(H38-G38,2)),""))</f>
        <v>66248.09</v>
      </c>
      <c r="G38" s="17">
        <f>IF(C37=$F$11,SUM($G$18:G37),IF(C38=B38,ROUND(((($F$13+1)^((D38-D37)/360))-1)*I37,2),""))</f>
        <v>18704.240000000002</v>
      </c>
      <c r="H38" s="17">
        <f>IF(C37=$F$11,SUM($H$18:H37),IF(C38=B38,IF(C38=$F$11,F38+G38,ROUND($I$17/VLOOKUP("Totales",$D$18:$K$117,8,FALSE),2)),""))</f>
        <v>84952.33</v>
      </c>
      <c r="I38" s="17">
        <f t="shared" si="3"/>
        <v>1734461.85</v>
      </c>
      <c r="J38" s="17"/>
      <c r="K38" s="25">
        <f>IF(C37=$F$11,SUM($K$18:K37),IF(C38=B38,1/((1+$F$14)^SUM($E$18:E38)),""))</f>
        <v>0.80788278618202536</v>
      </c>
    </row>
    <row r="39" spans="2:11" x14ac:dyDescent="0.25">
      <c r="B39" s="18">
        <v>22</v>
      </c>
      <c r="C39" s="19">
        <f t="shared" si="1"/>
        <v>22</v>
      </c>
      <c r="D39" s="20">
        <f t="shared" si="2"/>
        <v>45708</v>
      </c>
      <c r="E39" s="23">
        <f t="shared" si="0"/>
        <v>31</v>
      </c>
      <c r="F39" s="17">
        <f>IF(C38=$F$11,SUM($F$18:F38),IF(C39=B39,IF(C39=$F$11,I38,ROUND(H39-G39,2)),""))</f>
        <v>66936.22</v>
      </c>
      <c r="G39" s="17">
        <f>IF(C38=$F$11,SUM($G$18:G38),IF(C39=B39,ROUND(((($F$13+1)^((D39-D38)/360))-1)*I38,2),""))</f>
        <v>18016.11</v>
      </c>
      <c r="H39" s="17">
        <f>IF(C38=$F$11,SUM($H$18:H38),IF(C39=B39,IF(C39=$F$11,F39+G39,ROUND($I$17/VLOOKUP("Totales",$D$18:$K$117,8,FALSE),2)),""))</f>
        <v>84952.33</v>
      </c>
      <c r="I39" s="17">
        <f t="shared" si="3"/>
        <v>1667525.63</v>
      </c>
      <c r="J39" s="17"/>
      <c r="K39" s="25">
        <f>IF(C38=$F$11,SUM($K$18:K38),IF(C39=B39,1/((1+$F$14)^SUM($E$18:E39)),""))</f>
        <v>0.79957745557640925</v>
      </c>
    </row>
    <row r="40" spans="2:11" x14ac:dyDescent="0.25">
      <c r="B40" s="18">
        <v>23</v>
      </c>
      <c r="C40" s="19">
        <f t="shared" si="1"/>
        <v>23</v>
      </c>
      <c r="D40" s="20">
        <f t="shared" si="2"/>
        <v>45736</v>
      </c>
      <c r="E40" s="23">
        <f t="shared" si="0"/>
        <v>28</v>
      </c>
      <c r="F40" s="17">
        <f>IF(C39=$F$11,SUM($F$18:F39),IF(C40=B40,IF(C40=$F$11,I39,ROUND(H40-G40,2)),""))</f>
        <v>69315.539999999994</v>
      </c>
      <c r="G40" s="17">
        <f>IF(C39=$F$11,SUM($G$18:G39),IF(C40=B40,ROUND(((($F$13+1)^((D40-D39)/360))-1)*I39,2),""))</f>
        <v>15636.79</v>
      </c>
      <c r="H40" s="17">
        <f>IF(C39=$F$11,SUM($H$18:H39),IF(C40=B40,IF(C40=$F$11,F40+G40,ROUND($I$17/VLOOKUP("Totales",$D$18:$K$117,8,FALSE),2)),""))</f>
        <v>84952.33</v>
      </c>
      <c r="I40" s="17">
        <f t="shared" si="3"/>
        <v>1598210.09</v>
      </c>
      <c r="J40" s="17"/>
      <c r="K40" s="25">
        <f>IF(C39=$F$11,SUM($K$18:K39),IF(C40=B40,1/((1+$F$14)^SUM($E$18:E40)),""))</f>
        <v>0.79214927855868777</v>
      </c>
    </row>
    <row r="41" spans="2:11" x14ac:dyDescent="0.25">
      <c r="B41" s="18">
        <v>24</v>
      </c>
      <c r="C41" s="19">
        <f t="shared" si="1"/>
        <v>24</v>
      </c>
      <c r="D41" s="20">
        <f t="shared" si="2"/>
        <v>45767</v>
      </c>
      <c r="E41" s="23">
        <f t="shared" si="0"/>
        <v>31</v>
      </c>
      <c r="F41" s="17">
        <f>IF(C40=$F$11,SUM($F$18:F40),IF(C41=B41,IF(C41=$F$11,I40,ROUND(H41-G41,2)),""))</f>
        <v>68351.48</v>
      </c>
      <c r="G41" s="17">
        <f>IF(C40=$F$11,SUM($G$18:G40),IF(C41=B41,ROUND(((($F$13+1)^((D41-D40)/360))-1)*I40,2),""))</f>
        <v>16600.849999999999</v>
      </c>
      <c r="H41" s="17">
        <f>IF(C40=$F$11,SUM($H$18:H40),IF(C41=B41,IF(C41=$F$11,F41+G41,ROUND($I$17/VLOOKUP("Totales",$D$18:$K$117,8,FALSE),2)),""))</f>
        <v>84952.33</v>
      </c>
      <c r="I41" s="17">
        <f t="shared" si="3"/>
        <v>1529858.61</v>
      </c>
      <c r="J41" s="17"/>
      <c r="K41" s="25">
        <f>IF(C40=$F$11,SUM($K$18:K40),IF(C41=B41,1/((1+$F$14)^SUM($E$18:E41)),""))</f>
        <v>0.78400569416753829</v>
      </c>
    </row>
    <row r="42" spans="2:11" x14ac:dyDescent="0.25">
      <c r="B42" s="18">
        <v>25</v>
      </c>
      <c r="C42" s="19">
        <f t="shared" si="1"/>
        <v>25</v>
      </c>
      <c r="D42" s="20">
        <f t="shared" si="2"/>
        <v>45797</v>
      </c>
      <c r="E42" s="23">
        <f t="shared" si="0"/>
        <v>30</v>
      </c>
      <c r="F42" s="17">
        <f>IF(C41=$F$11,SUM($F$18:F41),IF(C42=B42,IF(C42=$F$11,I41,ROUND(H42-G42,2)),""))</f>
        <v>69576.639999999999</v>
      </c>
      <c r="G42" s="17">
        <f>IF(C41=$F$11,SUM($G$18:G41),IF(C42=B42,ROUND(((($F$13+1)^((D42-D41)/360))-1)*I41,2),""))</f>
        <v>15375.69</v>
      </c>
      <c r="H42" s="17">
        <f>IF(C41=$F$11,SUM($H$18:H41),IF(C42=B42,IF(C42=$F$11,F42+G42,ROUND($I$17/VLOOKUP("Totales",$D$18:$K$117,8,FALSE),2)),""))</f>
        <v>84952.33</v>
      </c>
      <c r="I42" s="17">
        <f t="shared" si="3"/>
        <v>1460281.97</v>
      </c>
      <c r="J42" s="17"/>
      <c r="K42" s="25">
        <f>IF(C41=$F$11,SUM($K$18:K41),IF(C42=B42,1/((1+$F$14)^SUM($E$18:E42)),""))</f>
        <v>0.7762045265464993</v>
      </c>
    </row>
    <row r="43" spans="2:11" x14ac:dyDescent="0.25">
      <c r="B43" s="18">
        <v>26</v>
      </c>
      <c r="C43" s="19">
        <f t="shared" si="1"/>
        <v>26</v>
      </c>
      <c r="D43" s="20">
        <f t="shared" si="2"/>
        <v>45828</v>
      </c>
      <c r="E43" s="23">
        <f t="shared" si="0"/>
        <v>31</v>
      </c>
      <c r="F43" s="17">
        <f>IF(C42=$F$11,SUM($F$18:F42),IF(C43=B43,IF(C43=$F$11,I42,ROUND(H43-G43,2)),""))</f>
        <v>69784.160000000003</v>
      </c>
      <c r="G43" s="17">
        <f>IF(C42=$F$11,SUM($G$18:G42),IF(C43=B43,ROUND(((($F$13+1)^((D43-D42)/360))-1)*I42,2),""))</f>
        <v>15168.17</v>
      </c>
      <c r="H43" s="17">
        <f>IF(C42=$F$11,SUM($H$18:H42),IF(C43=B43,IF(C43=$F$11,F43+G43,ROUND($I$17/VLOOKUP("Totales",$D$18:$K$117,8,FALSE),2)),""))</f>
        <v>84952.33</v>
      </c>
      <c r="I43" s="17">
        <f t="shared" si="3"/>
        <v>1390497.81</v>
      </c>
      <c r="J43" s="17"/>
      <c r="K43" s="25">
        <f>IF(C42=$F$11,SUM($K$18:K42),IF(C43=B43,1/((1+$F$14)^SUM($E$18:E43)),""))</f>
        <v>0.76822486003941814</v>
      </c>
    </row>
    <row r="44" spans="2:11" x14ac:dyDescent="0.25">
      <c r="B44" s="18">
        <v>27</v>
      </c>
      <c r="C44" s="19">
        <f t="shared" si="1"/>
        <v>27</v>
      </c>
      <c r="D44" s="20">
        <f t="shared" si="2"/>
        <v>45858</v>
      </c>
      <c r="E44" s="23">
        <f t="shared" si="0"/>
        <v>30</v>
      </c>
      <c r="F44" s="17">
        <f>IF(C43=$F$11,SUM($F$18:F43),IF(C44=B44,IF(C44=$F$11,I43,ROUND(H44-G44,2)),""))</f>
        <v>70977.27</v>
      </c>
      <c r="G44" s="17">
        <f>IF(C43=$F$11,SUM($G$18:G43),IF(C44=B44,ROUND(((($F$13+1)^((D44-D43)/360))-1)*I43,2),""))</f>
        <v>13975.06</v>
      </c>
      <c r="H44" s="17">
        <f>IF(C43=$F$11,SUM($H$18:H43),IF(C44=B44,IF(C44=$F$11,F44+G44,ROUND($I$17/VLOOKUP("Totales",$D$18:$K$117,8,FALSE),2)),""))</f>
        <v>84952.33</v>
      </c>
      <c r="I44" s="17">
        <f t="shared" si="3"/>
        <v>1319520.54</v>
      </c>
      <c r="J44" s="17"/>
      <c r="K44" s="25">
        <f>IF(C43=$F$11,SUM($K$18:K43),IF(C44=B44,1/((1+$F$14)^SUM($E$18:E44)),""))</f>
        <v>0.76058071797718452</v>
      </c>
    </row>
    <row r="45" spans="2:11" x14ac:dyDescent="0.25">
      <c r="B45" s="18">
        <v>28</v>
      </c>
      <c r="C45" s="19">
        <f t="shared" si="1"/>
        <v>28</v>
      </c>
      <c r="D45" s="20">
        <f t="shared" si="2"/>
        <v>45889</v>
      </c>
      <c r="E45" s="23">
        <f t="shared" si="0"/>
        <v>31</v>
      </c>
      <c r="F45" s="17">
        <f>IF(C44=$F$11,SUM($F$18:F44),IF(C45=B45,IF(C45=$F$11,I44,ROUND(H45-G45,2)),""))</f>
        <v>71246.27</v>
      </c>
      <c r="G45" s="17">
        <f>IF(C44=$F$11,SUM($G$18:G44),IF(C45=B45,ROUND(((($F$13+1)^((D45-D44)/360))-1)*I44,2),""))</f>
        <v>13706.06</v>
      </c>
      <c r="H45" s="17">
        <f>IF(C44=$F$11,SUM($H$18:H44),IF(C45=B45,IF(C45=$F$11,F45+G45,ROUND($I$17/VLOOKUP("Totales",$D$18:$K$117,8,FALSE),2)),""))</f>
        <v>84952.33</v>
      </c>
      <c r="I45" s="17">
        <f t="shared" si="3"/>
        <v>1248274.27</v>
      </c>
      <c r="J45" s="17"/>
      <c r="K45" s="25">
        <f>IF(C44=$F$11,SUM($K$18:K44),IF(C45=B45,1/((1+$F$14)^SUM($E$18:E45)),""))</f>
        <v>0.75276166993816107</v>
      </c>
    </row>
    <row r="46" spans="2:11" x14ac:dyDescent="0.25">
      <c r="B46" s="18">
        <v>29</v>
      </c>
      <c r="C46" s="19">
        <f t="shared" si="1"/>
        <v>29</v>
      </c>
      <c r="D46" s="20">
        <f t="shared" si="2"/>
        <v>45920</v>
      </c>
      <c r="E46" s="23">
        <f t="shared" si="0"/>
        <v>31</v>
      </c>
      <c r="F46" s="17">
        <f>IF(C45=$F$11,SUM($F$18:F45),IF(C46=B46,IF(C46=$F$11,I45,ROUND(H46-G46,2)),""))</f>
        <v>71986.320000000007</v>
      </c>
      <c r="G46" s="17">
        <f>IF(C45=$F$11,SUM($G$18:G45),IF(C46=B46,ROUND(((($F$13+1)^((D46-D45)/360))-1)*I45,2),""))</f>
        <v>12966.01</v>
      </c>
      <c r="H46" s="17">
        <f>IF(C45=$F$11,SUM($H$18:H45),IF(C46=B46,IF(C46=$F$11,F46+G46,ROUND($I$17/VLOOKUP("Totales",$D$18:$K$117,8,FALSE),2)),""))</f>
        <v>84952.33</v>
      </c>
      <c r="I46" s="17">
        <f t="shared" si="3"/>
        <v>1176287.95</v>
      </c>
      <c r="J46" s="17"/>
      <c r="K46" s="25">
        <f>IF(C45=$F$11,SUM($K$18:K45),IF(C46=B46,1/((1+$F$14)^SUM($E$18:E46)),""))</f>
        <v>0.74502300457357518</v>
      </c>
    </row>
    <row r="47" spans="2:11" x14ac:dyDescent="0.25">
      <c r="B47" s="18">
        <v>30</v>
      </c>
      <c r="C47" s="19">
        <f t="shared" si="1"/>
        <v>30</v>
      </c>
      <c r="D47" s="20">
        <f t="shared" si="2"/>
        <v>45950</v>
      </c>
      <c r="E47" s="23">
        <f t="shared" si="0"/>
        <v>30</v>
      </c>
      <c r="F47" s="17">
        <f>IF(C46=$F$11,SUM($F$18:F46),IF(C47=B47,IF(C47=$F$11,I46,ROUND(H47-G47,2)),""))</f>
        <v>73130.16</v>
      </c>
      <c r="G47" s="17">
        <f>IF(C46=$F$11,SUM($G$18:G46),IF(C47=B47,ROUND(((($F$13+1)^((D47-D46)/360))-1)*I46,2),""))</f>
        <v>11822.17</v>
      </c>
      <c r="H47" s="17">
        <f>IF(C46=$F$11,SUM($H$18:H46),IF(C47=B47,IF(C47=$F$11,F47+G47,ROUND($I$17/VLOOKUP("Totales",$D$18:$K$117,8,FALSE),2)),""))</f>
        <v>84952.33</v>
      </c>
      <c r="I47" s="17">
        <f t="shared" si="3"/>
        <v>1103157.79</v>
      </c>
      <c r="J47" s="17"/>
      <c r="K47" s="25">
        <f>IF(C46=$F$11,SUM($K$18:K46),IF(C47=B47,1/((1+$F$14)^SUM($E$18:E47)),""))</f>
        <v>0.73760973017589371</v>
      </c>
    </row>
    <row r="48" spans="2:11" x14ac:dyDescent="0.25">
      <c r="B48" s="18">
        <v>31</v>
      </c>
      <c r="C48" s="19">
        <f t="shared" si="1"/>
        <v>31</v>
      </c>
      <c r="D48" s="20">
        <f t="shared" si="2"/>
        <v>45981</v>
      </c>
      <c r="E48" s="23">
        <f t="shared" si="0"/>
        <v>31</v>
      </c>
      <c r="F48" s="17">
        <f>IF(C47=$F$11,SUM($F$18:F47),IF(C48=B48,IF(C48=$F$11,I47,ROUND(H48-G48,2)),""))</f>
        <v>73493.67</v>
      </c>
      <c r="G48" s="17">
        <f>IF(C47=$F$11,SUM($G$18:G47),IF(C48=B48,ROUND(((($F$13+1)^((D48-D47)/360))-1)*I47,2),""))</f>
        <v>11458.66</v>
      </c>
      <c r="H48" s="17">
        <f>IF(C47=$F$11,SUM($H$18:H47),IF(C48=B48,IF(C48=$F$11,F48+G48,ROUND($I$17/VLOOKUP("Totales",$D$18:$K$117,8,FALSE),2)),""))</f>
        <v>84952.33</v>
      </c>
      <c r="I48" s="17">
        <f t="shared" si="3"/>
        <v>1029664.12</v>
      </c>
      <c r="J48" s="17"/>
      <c r="K48" s="25">
        <f>IF(C47=$F$11,SUM($K$18:K47),IF(C48=B48,1/((1+$F$14)^SUM($E$18:E48)),""))</f>
        <v>0.73002683229539655</v>
      </c>
    </row>
    <row r="49" spans="2:11" x14ac:dyDescent="0.25">
      <c r="B49" s="18">
        <v>32</v>
      </c>
      <c r="C49" s="19">
        <f t="shared" si="1"/>
        <v>32</v>
      </c>
      <c r="D49" s="20">
        <f t="shared" si="2"/>
        <v>46011</v>
      </c>
      <c r="E49" s="23">
        <f t="shared" si="0"/>
        <v>30</v>
      </c>
      <c r="F49" s="17">
        <f>IF(C48=$F$11,SUM($F$18:F48),IF(C49=B49,IF(C49=$F$11,I48,ROUND(H49-G49,2)),""))</f>
        <v>74603.789999999994</v>
      </c>
      <c r="G49" s="17">
        <f>IF(C48=$F$11,SUM($G$18:G48),IF(C49=B49,ROUND(((($F$13+1)^((D49-D48)/360))-1)*I48,2),""))</f>
        <v>10348.540000000001</v>
      </c>
      <c r="H49" s="17">
        <f>IF(C48=$F$11,SUM($H$18:H48),IF(C49=B49,IF(C49=$F$11,F49+G49,ROUND($I$17/VLOOKUP("Totales",$D$18:$K$117,8,FALSE),2)),""))</f>
        <v>84952.33</v>
      </c>
      <c r="I49" s="17">
        <f t="shared" si="3"/>
        <v>955060.33</v>
      </c>
      <c r="J49" s="17"/>
      <c r="K49" s="25">
        <f>IF(C48=$F$11,SUM($K$18:K48),IF(C49=B49,1/((1+$F$14)^SUM($E$18:E49)),""))</f>
        <v>0.72276277575988912</v>
      </c>
    </row>
    <row r="50" spans="2:11" x14ac:dyDescent="0.25">
      <c r="B50" s="18">
        <v>33</v>
      </c>
      <c r="C50" s="19">
        <f t="shared" si="1"/>
        <v>33</v>
      </c>
      <c r="D50" s="20">
        <f t="shared" si="2"/>
        <v>46042</v>
      </c>
      <c r="E50" s="23">
        <f t="shared" si="0"/>
        <v>31</v>
      </c>
      <c r="F50" s="17">
        <f>IF(C49=$F$11,SUM($F$18:F49),IF(C50=B50,IF(C50=$F$11,I49,ROUND(H50-G50,2)),""))</f>
        <v>75031.98</v>
      </c>
      <c r="G50" s="17">
        <f>IF(C49=$F$11,SUM($G$18:G49),IF(C50=B50,ROUND(((($F$13+1)^((D50-D49)/360))-1)*I49,2),""))</f>
        <v>9920.35</v>
      </c>
      <c r="H50" s="17">
        <f>IF(C49=$F$11,SUM($H$18:H49),IF(C50=B50,IF(C50=$F$11,F50+G50,ROUND($I$17/VLOOKUP("Totales",$D$18:$K$117,8,FALSE),2)),""))</f>
        <v>84952.33</v>
      </c>
      <c r="I50" s="17">
        <f t="shared" si="3"/>
        <v>880028.35</v>
      </c>
      <c r="J50" s="17"/>
      <c r="K50" s="25">
        <f>IF(C49=$F$11,SUM($K$18:K49),IF(C50=B50,1/((1+$F$14)^SUM($E$18:E50)),""))</f>
        <v>0.71533251000254183</v>
      </c>
    </row>
    <row r="51" spans="2:11" x14ac:dyDescent="0.25">
      <c r="B51" s="18">
        <v>34</v>
      </c>
      <c r="C51" s="19">
        <f t="shared" si="1"/>
        <v>34</v>
      </c>
      <c r="D51" s="20">
        <f t="shared" si="2"/>
        <v>46073</v>
      </c>
      <c r="E51" s="23">
        <f t="shared" si="0"/>
        <v>31</v>
      </c>
      <c r="F51" s="17">
        <f>IF(C50=$F$11,SUM($F$18:F50),IF(C51=B51,IF(C51=$F$11,I50,ROUND(H51-G51,2)),""))</f>
        <v>75811.34</v>
      </c>
      <c r="G51" s="17">
        <f>IF(C50=$F$11,SUM($G$18:G50),IF(C51=B51,ROUND(((($F$13+1)^((D51-D50)/360))-1)*I50,2),""))</f>
        <v>9140.99</v>
      </c>
      <c r="H51" s="17">
        <f>IF(C50=$F$11,SUM($H$18:H50),IF(C51=B51,IF(C51=$F$11,F51+G51,ROUND($I$17/VLOOKUP("Totales",$D$18:$K$117,8,FALSE),2)),""))</f>
        <v>84952.33</v>
      </c>
      <c r="I51" s="17">
        <f t="shared" si="3"/>
        <v>804217.01</v>
      </c>
      <c r="J51" s="17"/>
      <c r="K51" s="25">
        <f>IF(C50=$F$11,SUM($K$18:K50),IF(C51=B51,1/((1+$F$14)^SUM($E$18:E51)),""))</f>
        <v>0.70797863009554074</v>
      </c>
    </row>
    <row r="52" spans="2:11" x14ac:dyDescent="0.25">
      <c r="B52" s="18">
        <v>35</v>
      </c>
      <c r="C52" s="19">
        <f t="shared" si="1"/>
        <v>35</v>
      </c>
      <c r="D52" s="20">
        <f t="shared" si="2"/>
        <v>46101</v>
      </c>
      <c r="E52" s="23">
        <f t="shared" si="0"/>
        <v>28</v>
      </c>
      <c r="F52" s="17">
        <f>IF(C51=$F$11,SUM($F$18:F51),IF(C52=B52,IF(C52=$F$11,I51,ROUND(H52-G52,2)),""))</f>
        <v>77410.990000000005</v>
      </c>
      <c r="G52" s="17">
        <f>IF(C51=$F$11,SUM($G$18:G51),IF(C52=B52,ROUND(((($F$13+1)^((D52-D51)/360))-1)*I51,2),""))</f>
        <v>7541.34</v>
      </c>
      <c r="H52" s="17">
        <f>IF(C51=$F$11,SUM($H$18:H51),IF(C52=B52,IF(C52=$F$11,F52+G52,ROUND($I$17/VLOOKUP("Totales",$D$18:$K$117,8,FALSE),2)),""))</f>
        <v>84952.33</v>
      </c>
      <c r="I52" s="17">
        <f t="shared" si="3"/>
        <v>726806.02</v>
      </c>
      <c r="J52" s="17"/>
      <c r="K52" s="25">
        <f>IF(C51=$F$11,SUM($K$18:K51),IF(C52=B52,1/((1+$F$14)^SUM($E$18:E52)),""))</f>
        <v>0.70140141790373045</v>
      </c>
    </row>
    <row r="53" spans="2:11" x14ac:dyDescent="0.25">
      <c r="B53" s="18">
        <v>36</v>
      </c>
      <c r="C53" s="19">
        <f t="shared" si="1"/>
        <v>36</v>
      </c>
      <c r="D53" s="20">
        <f t="shared" si="2"/>
        <v>46132</v>
      </c>
      <c r="E53" s="23">
        <f t="shared" si="0"/>
        <v>31</v>
      </c>
      <c r="F53" s="17">
        <f>IF(C52=$F$11,SUM($F$18:F52),IF(C53=B53,IF(C53=$F$11,I52,ROUND(H53-G53,2)),""))</f>
        <v>77402.89</v>
      </c>
      <c r="G53" s="17">
        <f>IF(C52=$F$11,SUM($G$18:G52),IF(C53=B53,ROUND(((($F$13+1)^((D53-D52)/360))-1)*I52,2),""))</f>
        <v>7549.44</v>
      </c>
      <c r="H53" s="17">
        <f>IF(C52=$F$11,SUM($H$18:H52),IF(C53=B53,IF(C53=$F$11,F53+G53,ROUND($I$17/VLOOKUP("Totales",$D$18:$K$117,8,FALSE),2)),""))</f>
        <v>84952.33</v>
      </c>
      <c r="I53" s="17">
        <f t="shared" si="3"/>
        <v>649403.13</v>
      </c>
      <c r="J53" s="17"/>
      <c r="K53" s="25">
        <f>IF(C52=$F$11,SUM($K$18:K52),IF(C53=B53,1/((1+$F$14)^SUM($E$18:E53)),""))</f>
        <v>0.69419075472019076</v>
      </c>
    </row>
    <row r="54" spans="2:11" x14ac:dyDescent="0.25">
      <c r="B54" s="18">
        <v>37</v>
      </c>
      <c r="C54" s="19">
        <f t="shared" si="1"/>
        <v>37</v>
      </c>
      <c r="D54" s="20">
        <f t="shared" si="2"/>
        <v>46162</v>
      </c>
      <c r="E54" s="23">
        <f t="shared" si="0"/>
        <v>30</v>
      </c>
      <c r="F54" s="17">
        <f>IF(C53=$F$11,SUM($F$18:F53),IF(C54=B54,IF(C54=$F$11,I53,ROUND(H54-G54,2)),""))</f>
        <v>78425.570000000007</v>
      </c>
      <c r="G54" s="17">
        <f>IF(C53=$F$11,SUM($G$18:G53),IF(C54=B54,ROUND(((($F$13+1)^((D54-D53)/360))-1)*I53,2),""))</f>
        <v>6526.76</v>
      </c>
      <c r="H54" s="17">
        <f>IF(C53=$F$11,SUM($H$18:H53),IF(C54=B54,IF(C54=$F$11,F54+G54,ROUND($I$17/VLOOKUP("Totales",$D$18:$K$117,8,FALSE),2)),""))</f>
        <v>84952.33</v>
      </c>
      <c r="I54" s="17">
        <f t="shared" si="3"/>
        <v>570977.56000000006</v>
      </c>
      <c r="J54" s="17"/>
      <c r="K54" s="25">
        <f>IF(C53=$F$11,SUM($K$18:K53),IF(C54=B54,1/((1+$F$14)^SUM($E$18:E54)),""))</f>
        <v>0.68728328137039807</v>
      </c>
    </row>
    <row r="55" spans="2:11" x14ac:dyDescent="0.25">
      <c r="B55" s="18">
        <v>38</v>
      </c>
      <c r="C55" s="19">
        <f t="shared" si="1"/>
        <v>38</v>
      </c>
      <c r="D55" s="20">
        <f t="shared" si="2"/>
        <v>46193</v>
      </c>
      <c r="E55" s="23">
        <f t="shared" si="0"/>
        <v>31</v>
      </c>
      <c r="F55" s="17">
        <f>IF(C54=$F$11,SUM($F$18:F54),IF(C55=B55,IF(C55=$F$11,I54,ROUND(H55-G55,2)),""))</f>
        <v>79021.5</v>
      </c>
      <c r="G55" s="17">
        <f>IF(C54=$F$11,SUM($G$18:G54),IF(C55=B55,ROUND(((($F$13+1)^((D55-D54)/360))-1)*I54,2),""))</f>
        <v>5930.83</v>
      </c>
      <c r="H55" s="17">
        <f>IF(C54=$F$11,SUM($H$18:H54),IF(C55=B55,IF(C55=$F$11,F55+G55,ROUND($I$17/VLOOKUP("Totales",$D$18:$K$117,8,FALSE),2)),""))</f>
        <v>84952.33</v>
      </c>
      <c r="I55" s="17">
        <f t="shared" si="3"/>
        <v>491956.06</v>
      </c>
      <c r="J55" s="17"/>
      <c r="K55" s="25">
        <f>IF(C54=$F$11,SUM($K$18:K54),IF(C55=B55,1/((1+$F$14)^SUM($E$18:E55)),""))</f>
        <v>0.68021775779553695</v>
      </c>
    </row>
    <row r="56" spans="2:11" x14ac:dyDescent="0.25">
      <c r="B56" s="18">
        <v>39</v>
      </c>
      <c r="C56" s="19">
        <f t="shared" si="1"/>
        <v>39</v>
      </c>
      <c r="D56" s="20">
        <f t="shared" si="2"/>
        <v>46223</v>
      </c>
      <c r="E56" s="23">
        <f t="shared" si="0"/>
        <v>30</v>
      </c>
      <c r="F56" s="17">
        <f>IF(C55=$F$11,SUM($F$18:F55),IF(C56=B56,IF(C56=$F$11,I55,ROUND(H56-G56,2)),""))</f>
        <v>80007.97</v>
      </c>
      <c r="G56" s="17">
        <f>IF(C55=$F$11,SUM($G$18:G55),IF(C56=B56,ROUND(((($F$13+1)^((D56-D55)/360))-1)*I55,2),""))</f>
        <v>4944.3599999999997</v>
      </c>
      <c r="H56" s="17">
        <f>IF(C55=$F$11,SUM($H$18:H55),IF(C56=B56,IF(C56=$F$11,F56+G56,ROUND($I$17/VLOOKUP("Totales",$D$18:$K$117,8,FALSE),2)),""))</f>
        <v>84952.33</v>
      </c>
      <c r="I56" s="17">
        <f t="shared" si="3"/>
        <v>411948.09</v>
      </c>
      <c r="J56" s="17"/>
      <c r="K56" s="25">
        <f>IF(C55=$F$11,SUM($K$18:K55),IF(C56=B56,1/((1+$F$14)^SUM($E$18:E56)),""))</f>
        <v>0.67344932130732404</v>
      </c>
    </row>
    <row r="57" spans="2:11" x14ac:dyDescent="0.25">
      <c r="B57" s="18">
        <v>40</v>
      </c>
      <c r="C57" s="19">
        <f t="shared" si="1"/>
        <v>40</v>
      </c>
      <c r="D57" s="20">
        <f t="shared" si="2"/>
        <v>46254</v>
      </c>
      <c r="E57" s="23">
        <f t="shared" si="0"/>
        <v>31</v>
      </c>
      <c r="F57" s="17">
        <f>IF(C56=$F$11,SUM($F$18:F56),IF(C57=B57,IF(C57=$F$11,I56,ROUND(H57-G57,2)),""))</f>
        <v>80673.36</v>
      </c>
      <c r="G57" s="17">
        <f>IF(C56=$F$11,SUM($G$18:G56),IF(C57=B57,ROUND(((($F$13+1)^((D57-D56)/360))-1)*I56,2),""))</f>
        <v>4278.97</v>
      </c>
      <c r="H57" s="17">
        <f>IF(C56=$F$11,SUM($H$18:H56),IF(C57=B57,IF(C57=$F$11,F57+G57,ROUND($I$17/VLOOKUP("Totales",$D$18:$K$117,8,FALSE),2)),""))</f>
        <v>84952.33</v>
      </c>
      <c r="I57" s="17">
        <f t="shared" si="3"/>
        <v>331274.73</v>
      </c>
      <c r="J57" s="17"/>
      <c r="K57" s="25">
        <f>IF(C56=$F$11,SUM($K$18:K56),IF(C57=B57,1/((1+$F$14)^SUM($E$18:E57)),""))</f>
        <v>0.66652601590306093</v>
      </c>
    </row>
    <row r="58" spans="2:11" x14ac:dyDescent="0.25">
      <c r="B58" s="18">
        <v>41</v>
      </c>
      <c r="C58" s="19">
        <f t="shared" si="1"/>
        <v>41</v>
      </c>
      <c r="D58" s="20">
        <f t="shared" si="2"/>
        <v>46285</v>
      </c>
      <c r="E58" s="23">
        <f t="shared" si="0"/>
        <v>31</v>
      </c>
      <c r="F58" s="17">
        <f>IF(C57=$F$11,SUM($F$18:F57),IF(C58=B58,IF(C58=$F$11,I57,ROUND(H58-G58,2)),""))</f>
        <v>81511.33</v>
      </c>
      <c r="G58" s="17">
        <f>IF(C57=$F$11,SUM($G$18:G57),IF(C58=B58,ROUND(((($F$13+1)^((D58-D57)/360))-1)*I57,2),""))</f>
        <v>3441</v>
      </c>
      <c r="H58" s="17">
        <f>IF(C57=$F$11,SUM($H$18:H57),IF(C58=B58,IF(C58=$F$11,F58+G58,ROUND($I$17/VLOOKUP("Totales",$D$18:$K$117,8,FALSE),2)),""))</f>
        <v>84952.33</v>
      </c>
      <c r="I58" s="17">
        <f t="shared" si="3"/>
        <v>249763.4</v>
      </c>
      <c r="J58" s="17"/>
      <c r="K58" s="25">
        <f>IF(C57=$F$11,SUM($K$18:K57),IF(C58=B58,1/((1+$F$14)^SUM($E$18:E58)),""))</f>
        <v>0.65967388461124288</v>
      </c>
    </row>
    <row r="59" spans="2:11" x14ac:dyDescent="0.25">
      <c r="B59" s="18">
        <v>42</v>
      </c>
      <c r="C59" s="19">
        <f t="shared" si="1"/>
        <v>42</v>
      </c>
      <c r="D59" s="20">
        <f t="shared" si="2"/>
        <v>46315</v>
      </c>
      <c r="E59" s="23">
        <f t="shared" si="0"/>
        <v>30</v>
      </c>
      <c r="F59" s="17">
        <f>IF(C58=$F$11,SUM($F$18:F58),IF(C59=B59,IF(C59=$F$11,I58,ROUND(H59-G59,2)),""))</f>
        <v>82442.11</v>
      </c>
      <c r="G59" s="17">
        <f>IF(C58=$F$11,SUM($G$18:G58),IF(C59=B59,ROUND(((($F$13+1)^((D59-D58)/360))-1)*I58,2),""))</f>
        <v>2510.2199999999998</v>
      </c>
      <c r="H59" s="17">
        <f>IF(C58=$F$11,SUM($H$18:H58),IF(C59=B59,IF(C59=$F$11,F59+G59,ROUND($I$17/VLOOKUP("Totales",$D$18:$K$117,8,FALSE),2)),""))</f>
        <v>84952.33</v>
      </c>
      <c r="I59" s="17">
        <f t="shared" si="3"/>
        <v>167321.29</v>
      </c>
      <c r="J59" s="17"/>
      <c r="K59" s="25">
        <f>IF(C58=$F$11,SUM($K$18:K58),IF(C59=B59,1/((1+$F$14)^SUM($E$18:E59)),""))</f>
        <v>0.65310986780963198</v>
      </c>
    </row>
    <row r="60" spans="2:11" x14ac:dyDescent="0.25">
      <c r="B60" s="18">
        <v>43</v>
      </c>
      <c r="C60" s="19">
        <f t="shared" si="1"/>
        <v>43</v>
      </c>
      <c r="D60" s="20">
        <f t="shared" si="2"/>
        <v>46346</v>
      </c>
      <c r="E60" s="23">
        <f t="shared" si="0"/>
        <v>31</v>
      </c>
      <c r="F60" s="17">
        <f>IF(C59=$F$11,SUM($F$18:F59),IF(C60=B60,IF(C60=$F$11,I59,ROUND(H60-G60,2)),""))</f>
        <v>83214.34</v>
      </c>
      <c r="G60" s="17">
        <f>IF(C59=$F$11,SUM($G$18:G59),IF(C60=B60,ROUND(((($F$13+1)^((D60-D59)/360))-1)*I59,2),""))</f>
        <v>1737.99</v>
      </c>
      <c r="H60" s="17">
        <f>IF(C59=$F$11,SUM($H$18:H59),IF(C60=B60,IF(C60=$F$11,F60+G60,ROUND($I$17/VLOOKUP("Totales",$D$18:$K$117,8,FALSE),2)),""))</f>
        <v>84952.33</v>
      </c>
      <c r="I60" s="17">
        <f t="shared" si="3"/>
        <v>84106.95</v>
      </c>
      <c r="J60" s="17"/>
      <c r="K60" s="25">
        <f>IF(C59=$F$11,SUM($K$18:K59),IF(C60=B60,1/((1+$F$14)^SUM($E$18:E60)),""))</f>
        <v>0.64639565942850818</v>
      </c>
    </row>
    <row r="61" spans="2:11" x14ac:dyDescent="0.25">
      <c r="B61" s="18">
        <v>44</v>
      </c>
      <c r="C61" s="19">
        <f t="shared" si="1"/>
        <v>44</v>
      </c>
      <c r="D61" s="20">
        <f t="shared" si="2"/>
        <v>46376</v>
      </c>
      <c r="E61" s="23">
        <f t="shared" si="0"/>
        <v>30</v>
      </c>
      <c r="F61" s="17">
        <f>IF(C60=$F$11,SUM($F$18:F60),IF(C61=B61,IF(C61=$F$11,I60,ROUND(H61-G61,2)),""))</f>
        <v>84106.95</v>
      </c>
      <c r="G61" s="17">
        <f>IF(C60=$F$11,SUM($G$18:G60),IF(C61=B61,ROUND(((($F$13+1)^((D61-D60)/360))-1)*I60,2),""))</f>
        <v>845.31</v>
      </c>
      <c r="H61" s="17">
        <f>IF(C60=$F$11,SUM($H$18:H60),IF(C61=B61,IF(C61=$F$11,F61+G61,ROUND($I$17/VLOOKUP("Totales",$D$18:$K$117,8,FALSE),2)),""))</f>
        <v>84952.26</v>
      </c>
      <c r="I61" s="17">
        <f t="shared" si="3"/>
        <v>0</v>
      </c>
      <c r="J61" s="17"/>
      <c r="K61" s="25">
        <f>IF(C60=$F$11,SUM($K$18:K60),IF(C61=B61,1/((1+$F$14)^SUM($E$18:E61)),""))</f>
        <v>0.63996376623407403</v>
      </c>
    </row>
    <row r="62" spans="2:11" x14ac:dyDescent="0.25">
      <c r="B62" s="18">
        <v>45</v>
      </c>
      <c r="C62" s="19" t="str">
        <f t="shared" si="1"/>
        <v/>
      </c>
      <c r="D62" s="20" t="str">
        <f>IF(C61=$F$11,"Totales",IF(B62&lt;=$F$11,DATE(IF(MONTH(D61)=20,YEAR(D61)+1,YEAR(D61)),IF(MONTH(D61)=20,1,IF(DAY(D61)&lt;10,MONTH(D61),MONTH(D61)+1)),20),""))</f>
        <v>Totales</v>
      </c>
      <c r="E62" s="23" t="str">
        <f t="shared" si="0"/>
        <v/>
      </c>
      <c r="F62" s="17">
        <f>IF(C61=$F$11,SUM($F$18:F61),IF(C62=B62,IF(C62=$F$11,I61,ROUND(H62-G62,2)),""))</f>
        <v>3000000</v>
      </c>
      <c r="G62" s="17">
        <f>IF(C61=$F$11,SUM($G$18:G61),IF(C62=B62,ROUND(((($F$13+1)^((D62-D61)/360))-1)*I61,2),""))</f>
        <v>737902.45000000007</v>
      </c>
      <c r="H62" s="17">
        <f>IF(C61=$F$11,SUM($H$18:H61),IF(C62=B62,IF(C62=$F$11,F62+G62,ROUND($I$17/VLOOKUP("Totales",$D$18:$K$117,8,FALSE),2)),""))</f>
        <v>3737902.4500000016</v>
      </c>
      <c r="I62" s="17" t="str">
        <f t="shared" si="3"/>
        <v/>
      </c>
      <c r="J62" s="27"/>
      <c r="K62" s="25">
        <f>IF(C61=$F$11,SUM($K$18:K61),IF(C62=B62,1/((1+$F$14)^SUM($E$18:E62)),""))</f>
        <v>35.313922838656744</v>
      </c>
    </row>
    <row r="63" spans="2:11" x14ac:dyDescent="0.25">
      <c r="B63" s="18">
        <v>46</v>
      </c>
      <c r="C63" s="19" t="str">
        <f t="shared" si="1"/>
        <v/>
      </c>
      <c r="D63" s="20" t="str">
        <f t="shared" si="2"/>
        <v/>
      </c>
      <c r="E63" s="23" t="str">
        <f t="shared" si="0"/>
        <v/>
      </c>
      <c r="F63" s="17" t="str">
        <f>IF(C62=$F$11,SUM($F$18:F62),IF(C63=B63,IF(C63=$F$11,I62,ROUND(H63-G63,2)),""))</f>
        <v/>
      </c>
      <c r="G63" s="17" t="str">
        <f>IF(C62=$F$11,SUM($G$18:G62),IF(C63=B63,ROUND(((($F$13+1)^((D63-D62)/360))-1)*I62,2),""))</f>
        <v/>
      </c>
      <c r="H63" s="17" t="str">
        <f>IF(C62=$F$11,SUM($H$18:H62),IF(C63=B63,IF(C63=$F$11,F63+G63,ROUND($I$17/VLOOKUP("Totales",$D$18:$K$117,8,FALSE),2)),""))</f>
        <v/>
      </c>
      <c r="I63" s="17" t="str">
        <f t="shared" si="3"/>
        <v/>
      </c>
      <c r="J63" s="27"/>
      <c r="K63" s="25" t="str">
        <f>IF(C62=$F$11,SUM($K$18:K62),IF(C63=B63,1/((1+$F$14)^SUM($E$18:E63)),""))</f>
        <v/>
      </c>
    </row>
    <row r="64" spans="2:11" x14ac:dyDescent="0.25">
      <c r="B64" s="18">
        <v>47</v>
      </c>
      <c r="C64" s="19" t="str">
        <f t="shared" si="1"/>
        <v/>
      </c>
      <c r="D64" s="20" t="str">
        <f t="shared" si="2"/>
        <v/>
      </c>
      <c r="E64" s="23" t="str">
        <f>IF(C64=B64,D64-D63,"")</f>
        <v/>
      </c>
      <c r="F64" s="17" t="str">
        <f>IF(C63=$F$11,SUM($F$18:F63),IF(C64=B64,IF(C64=$F$11,I63,ROUND(H64-G64,2)),""))</f>
        <v/>
      </c>
      <c r="G64" s="17" t="str">
        <f>IF(C63=$F$11,SUM($G$18:G63),IF(C64=B64,ROUND(((($F$13+1)^((D64-D63)/360))-1)*I63,2),""))</f>
        <v/>
      </c>
      <c r="H64" s="17" t="str">
        <f>IF(C63=$F$11,SUM($H$18:H63),IF(C64=B64,IF(C64=$F$11,F64+G64,ROUND($I$17/VLOOKUP("Totales",$D$18:$K$117,8,FALSE),2)),""))</f>
        <v/>
      </c>
      <c r="I64" s="17" t="str">
        <f t="shared" si="3"/>
        <v/>
      </c>
      <c r="J64" s="28"/>
      <c r="K64" s="25" t="str">
        <f>IF(C63=$F$11,SUM($K$18:K63),IF(C64=B64,1/((1+$F$14)^SUM($E$18:E64)),""))</f>
        <v/>
      </c>
    </row>
    <row r="65" spans="1:13" x14ac:dyDescent="0.25">
      <c r="B65" s="18">
        <v>48</v>
      </c>
      <c r="C65" s="19" t="str">
        <f>IF(B65&lt;=$F$11,B65,"")</f>
        <v/>
      </c>
      <c r="D65" s="20" t="str">
        <f t="shared" si="2"/>
        <v/>
      </c>
      <c r="E65" s="23" t="str">
        <f>IF(C65=B65,D65-D64,"")</f>
        <v/>
      </c>
      <c r="F65" s="17" t="str">
        <f>IF(C64=$F$11,SUM($F$18:F64),IF(C65=B65,IF(C65=$F$11,I64,ROUND(H65-G65,2)),""))</f>
        <v/>
      </c>
      <c r="G65" s="17" t="str">
        <f>IF(C64=$F$11,SUM($G$18:G64),IF(C65=B65,ROUND(((($F$13+1)^((D65-D64)/360))-1)*I64,2),""))</f>
        <v/>
      </c>
      <c r="H65" s="17" t="str">
        <f>IF(C64=$F$11,SUM($H$18:H64),IF(C65=B65,IF(C65=$F$11,F65+G65,ROUND($I$17/VLOOKUP("Totales",$D$18:$K$117,8,FALSE),2)),""))</f>
        <v/>
      </c>
      <c r="I65" s="17" t="str">
        <f t="shared" si="3"/>
        <v/>
      </c>
      <c r="J65" s="17"/>
      <c r="K65" s="25" t="str">
        <f>IF(C64=$F$11,SUM($K$18:K64),IF(C65=B65,1/((1+$F$14)^SUM($E$18:E65)),""))</f>
        <v/>
      </c>
    </row>
    <row r="66" spans="1:13" ht="14.5" x14ac:dyDescent="0.35">
      <c r="A66"/>
      <c r="B66" s="18">
        <v>49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IF(C65=$F$11,SUM($F$18:F65),IF(C66=B66,IF(C66=$F$11,I65,ROUND(H66-G66,2)),""))</f>
        <v/>
      </c>
      <c r="G66" s="17" t="str">
        <f>IF(C65=$F$11,SUM($G$18:G65),IF(C66=B66,ROUND(((($F$13+1)^((D66-D65)/360))-1)*I65,2),""))</f>
        <v/>
      </c>
      <c r="H66" s="17" t="str">
        <f>IF(C65=$F$11,SUM($H$18:H65),IF(C66=B66,IF(C66=$F$11,F66+G66,ROUND($I$17/VLOOKUP("Totales",$D$18:$K$117,8,FALSE),2)),""))</f>
        <v/>
      </c>
      <c r="I66" s="17" t="str">
        <f t="shared" si="3"/>
        <v/>
      </c>
      <c r="J66" s="17"/>
      <c r="K66" s="25" t="str">
        <f>IF(C65=$F$11,SUM($K$18:K65),IF(C66=B66,1/((1+$F$14)^SUM($E$18:E66)),""))</f>
        <v/>
      </c>
      <c r="L66" s="17" t="s">
        <v>17</v>
      </c>
      <c r="M66" s="17"/>
    </row>
    <row r="67" spans="1:13" ht="14.5" x14ac:dyDescent="0.35">
      <c r="A67"/>
      <c r="B67" s="18">
        <v>50</v>
      </c>
      <c r="C67" s="19" t="str">
        <f t="shared" si="1"/>
        <v/>
      </c>
      <c r="D67" s="20" t="str">
        <f t="shared" si="2"/>
        <v/>
      </c>
      <c r="E67" s="23" t="str">
        <f>IF(C67=B67,D67-D66,"")</f>
        <v/>
      </c>
      <c r="F67" s="17" t="str">
        <f>IF(C66=$F$11,SUM($F$18:F66),IF(C67=B67,IF(C67=$F$11,I66,ROUND(H67-G67,2)),""))</f>
        <v/>
      </c>
      <c r="G67" s="17" t="str">
        <f>IF(C66=$F$11,SUM($G$18:G66),IF(C67=B67,ROUND(((($F$13+1)^((D67-D66)/360))-1)*I66,2),""))</f>
        <v/>
      </c>
      <c r="H67" s="17" t="str">
        <f>IF(C66=$F$11,SUM($H$18:H66),IF(C67=B67,IF(C67=$F$11,F67+G67,ROUND($I$17/VLOOKUP("Totales",$D$18:$K$117,8,FALSE),2)),""))</f>
        <v/>
      </c>
      <c r="I67" s="17" t="str">
        <f>IF(C67=B67,ROUND(I66-F67,2),"")</f>
        <v/>
      </c>
      <c r="J67" s="17"/>
      <c r="K67" s="25" t="str">
        <f>IF(C66=$F$11,SUM($K$18:K66),IF(C67=B67,1/((1+$F$14)^SUM($E$18:E67)),""))</f>
        <v/>
      </c>
      <c r="L67" s="17" t="s">
        <v>17</v>
      </c>
      <c r="M67" s="17"/>
    </row>
    <row r="68" spans="1:13" ht="14.5" x14ac:dyDescent="0.35">
      <c r="A68"/>
      <c r="B68" s="18">
        <v>51</v>
      </c>
      <c r="C68" s="19" t="str">
        <f t="shared" si="1"/>
        <v/>
      </c>
      <c r="D68" s="20" t="str">
        <f t="shared" si="2"/>
        <v/>
      </c>
      <c r="E68" s="23" t="str">
        <f t="shared" ref="E68:E117" si="4">IF(C68=B68,D68-D67,"")</f>
        <v/>
      </c>
      <c r="F68" s="17" t="str">
        <f>IF(C67=$F$11,SUM($F$18:F67),IF(C68=B68,IF(C68=$F$11,I67,ROUND(H68-G68,2)),""))</f>
        <v/>
      </c>
      <c r="G68" s="17" t="str">
        <f>IF(C67=$F$11,SUM($G$18:G67),IF(C68=B68,ROUND(((($F$13+1)^((D68-D67)/360))-1)*I67,2),""))</f>
        <v/>
      </c>
      <c r="H68" s="17" t="str">
        <f>IF(C67=$F$11,SUM($H$18:H67),IF(C68=B68,IF(C68=$F$11,F68+G68,ROUND($I$17/VLOOKUP("Totales",$D$18:$K$117,8,FALSE),2)),""))</f>
        <v/>
      </c>
      <c r="I68" s="17" t="str">
        <f t="shared" ref="I68:I117" si="5">IF(C68=B68,ROUND(I67-F68,2),"")</f>
        <v/>
      </c>
      <c r="J68" s="17"/>
      <c r="K68" s="25" t="str">
        <f>IF(C67=$F$11,SUM($K$18:K67),IF(C68=B68,1/((1+$F$14)^SUM($E$18:E68)),""))</f>
        <v/>
      </c>
      <c r="L68" s="17" t="s">
        <v>17</v>
      </c>
      <c r="M68" s="17"/>
    </row>
    <row r="69" spans="1:13" ht="14.5" x14ac:dyDescent="0.35">
      <c r="A69"/>
      <c r="B69" s="18">
        <v>52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IF(C68=$F$11,SUM($F$18:F68),IF(C69=B69,IF(C69=$F$11,I68,ROUND(H69-G69,2)),""))</f>
        <v/>
      </c>
      <c r="G69" s="17" t="str">
        <f>IF(C68=$F$11,SUM($G$18:G68),IF(C69=B69,ROUND(((($F$13+1)^((D69-D68)/360))-1)*I68,2),""))</f>
        <v/>
      </c>
      <c r="H69" s="17" t="str">
        <f>IF(C68=$F$11,SUM($H$18:H68),IF(C69=B69,IF(C69=$F$11,F69+G69,ROUND($I$17/VLOOKUP("Totales",$D$18:$K$117,8,FALSE),2)),""))</f>
        <v/>
      </c>
      <c r="I69" s="17" t="str">
        <f t="shared" si="5"/>
        <v/>
      </c>
      <c r="J69" s="17"/>
      <c r="K69" s="25" t="str">
        <f>IF(C68=$F$11,SUM($K$18:K68),IF(C69=B69,1/((1+$F$14)^SUM($E$18:E69)),""))</f>
        <v/>
      </c>
    </row>
    <row r="70" spans="1:13" ht="14.5" x14ac:dyDescent="0.35">
      <c r="A70"/>
      <c r="B70" s="18">
        <v>53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IF(C69=$F$11,SUM($F$18:F69),IF(C70=B70,IF(C70=$F$11,I69,ROUND(H70-G70,2)),""))</f>
        <v/>
      </c>
      <c r="G70" s="17" t="str">
        <f>IF(C69=$F$11,SUM($G$18:G69),IF(C70=B70,ROUND(((($F$13+1)^((D70-D69)/360))-1)*I69,2),""))</f>
        <v/>
      </c>
      <c r="H70" s="17" t="str">
        <f>IF(C69=$F$11,SUM($H$18:H69),IF(C70=B70,IF(C70=$F$11,F70+G70,ROUND($I$17/VLOOKUP("Totales",$D$18:$K$117,8,FALSE),2)),""))</f>
        <v/>
      </c>
      <c r="I70" s="17" t="str">
        <f t="shared" si="5"/>
        <v/>
      </c>
      <c r="J70" s="17"/>
      <c r="K70" s="25" t="str">
        <f>IF(C69=$F$11,SUM($K$18:K69),IF(C70=B70,1/((1+$F$14)^SUM($E$18:E70)),""))</f>
        <v/>
      </c>
    </row>
    <row r="71" spans="1:13" x14ac:dyDescent="0.25">
      <c r="B71" s="18">
        <v>54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IF(C70=$F$11,SUM($F$18:F70),IF(C71=B71,IF(C71=$F$11,I70,ROUND(H71-G71,2)),""))</f>
        <v/>
      </c>
      <c r="G71" s="17" t="str">
        <f>IF(C70=$F$11,SUM($G$18:G70),IF(C71=B71,ROUND(((($F$13+1)^((D71-D70)/360))-1)*I70,2),""))</f>
        <v/>
      </c>
      <c r="H71" s="17" t="str">
        <f>IF(C70=$F$11,SUM($H$18:H70),IF(C71=B71,IF(C71=$F$11,F71+G71,ROUND($I$17/VLOOKUP("Totales",$D$18:$K$117,8,FALSE),2)),""))</f>
        <v/>
      </c>
      <c r="I71" s="17" t="str">
        <f t="shared" si="5"/>
        <v/>
      </c>
      <c r="J71" s="17"/>
      <c r="K71" s="25" t="str">
        <f>IF(C70=$F$11,SUM($K$18:K70),IF(C71=B71,1/((1+$F$14)^SUM($E$18:E71)),""))</f>
        <v/>
      </c>
    </row>
    <row r="72" spans="1:13" x14ac:dyDescent="0.25">
      <c r="B72" s="18">
        <v>55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IF(C71=$F$11,SUM($F$18:F71),IF(C72=B72,IF(C72=$F$11,I71,ROUND(H72-G72,2)),""))</f>
        <v/>
      </c>
      <c r="G72" s="17" t="str">
        <f>IF(C71=$F$11,SUM($G$18:G71),IF(C72=B72,ROUND(((($F$13+1)^((D72-D71)/360))-1)*I71,2),""))</f>
        <v/>
      </c>
      <c r="H72" s="17" t="str">
        <f>IF(C71=$F$11,SUM($H$18:H71),IF(C72=B72,IF(C72=$F$11,F72+G72,ROUND($I$17/VLOOKUP("Totales",$D$18:$K$117,8,FALSE),2)),""))</f>
        <v/>
      </c>
      <c r="I72" s="17" t="str">
        <f t="shared" si="5"/>
        <v/>
      </c>
      <c r="J72" s="17"/>
      <c r="K72" s="25" t="str">
        <f>IF(C71=$F$11,SUM($K$18:K71),IF(C72=B72,1/((1+$F$14)^SUM($E$18:E72)),""))</f>
        <v/>
      </c>
    </row>
    <row r="73" spans="1:13" x14ac:dyDescent="0.25">
      <c r="B73" s="18">
        <v>56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IF(C72=$F$11,SUM($F$18:F72),IF(C73=B73,IF(C73=$F$11,I72,ROUND(H73-G73,2)),""))</f>
        <v/>
      </c>
      <c r="G73" s="17" t="str">
        <f>IF(C72=$F$11,SUM($G$18:G72),IF(C73=B73,ROUND(((($F$13+1)^((D73-D72)/360))-1)*I72,2),""))</f>
        <v/>
      </c>
      <c r="H73" s="17" t="str">
        <f>IF(C72=$F$11,SUM($H$18:H72),IF(C73=B73,IF(C73=$F$11,F73+G73,ROUND($I$17/VLOOKUP("Totales",$D$18:$K$117,8,FALSE),2)),""))</f>
        <v/>
      </c>
      <c r="I73" s="17" t="str">
        <f t="shared" si="5"/>
        <v/>
      </c>
      <c r="J73" s="17"/>
      <c r="K73" s="25" t="str">
        <f>IF(C72=$F$11,SUM($K$18:K72),IF(C73=B73,1/((1+$F$14)^SUM($E$18:E73)),""))</f>
        <v/>
      </c>
    </row>
    <row r="74" spans="1:13" x14ac:dyDescent="0.25">
      <c r="B74" s="18">
        <v>57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IF(C73=$F$11,SUM($F$18:F73),IF(C74=B74,IF(C74=$F$11,I73,ROUND(H74-G74,2)),""))</f>
        <v/>
      </c>
      <c r="G74" s="17" t="str">
        <f>IF(C73=$F$11,SUM($G$18:G73),IF(C74=B74,ROUND(((($F$13+1)^((D74-D73)/360))-1)*I73,2),""))</f>
        <v/>
      </c>
      <c r="H74" s="17" t="str">
        <f>IF(C73=$F$11,SUM($H$18:H73),IF(C74=B74,IF(C74=$F$11,F74+G74,ROUND($I$17/VLOOKUP("Totales",$D$18:$K$117,8,FALSE),2)),""))</f>
        <v/>
      </c>
      <c r="I74" s="17" t="str">
        <f t="shared" si="5"/>
        <v/>
      </c>
      <c r="J74" s="17"/>
      <c r="K74" s="25" t="str">
        <f>IF(C73=$F$11,SUM($K$18:K73),IF(C74=B74,1/((1+$F$14)^SUM($E$18:E74)),""))</f>
        <v/>
      </c>
    </row>
    <row r="75" spans="1:13" x14ac:dyDescent="0.25">
      <c r="B75" s="18">
        <v>58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IF(C74=$F$11,SUM($F$18:F74),IF(C75=B75,IF(C75=$F$11,I74,ROUND(H75-G75,2)),""))</f>
        <v/>
      </c>
      <c r="G75" s="17" t="str">
        <f>IF(C74=$F$11,SUM($G$18:G74),IF(C75=B75,ROUND(((($F$13+1)^((D75-D74)/360))-1)*I74,2),""))</f>
        <v/>
      </c>
      <c r="H75" s="17" t="str">
        <f>IF(C74=$F$11,SUM($H$18:H74),IF(C75=B75,IF(C75=$F$11,F75+G75,ROUND($I$17/VLOOKUP("Totales",$D$18:$K$117,8,FALSE),2)),""))</f>
        <v/>
      </c>
      <c r="I75" s="17" t="str">
        <f t="shared" si="5"/>
        <v/>
      </c>
      <c r="J75" s="17"/>
      <c r="K75" s="25" t="str">
        <f>IF(C74=$F$11,SUM($K$18:K74),IF(C75=B75,1/((1+$F$14)^SUM($E$18:E75)),""))</f>
        <v/>
      </c>
    </row>
    <row r="76" spans="1:13" x14ac:dyDescent="0.25">
      <c r="B76" s="18">
        <v>59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IF(C75=$F$11,SUM($F$18:F75),IF(C76=B76,IF(C76=$F$11,I75,ROUND(H76-G76,2)),""))</f>
        <v/>
      </c>
      <c r="G76" s="17" t="str">
        <f>IF(C75=$F$11,SUM($G$18:G75),IF(C76=B76,ROUND(((($F$13+1)^((D76-D75)/360))-1)*I75,2),""))</f>
        <v/>
      </c>
      <c r="H76" s="17" t="str">
        <f>IF(C75=$F$11,SUM($H$18:H75),IF(C76=B76,IF(C76=$F$11,F76+G76,ROUND($I$17/VLOOKUP("Totales",$D$18:$K$117,8,FALSE),2)),""))</f>
        <v/>
      </c>
      <c r="I76" s="17" t="str">
        <f t="shared" si="5"/>
        <v/>
      </c>
      <c r="J76" s="17"/>
      <c r="K76" s="25" t="str">
        <f>IF(C75=$F$11,SUM($K$18:K75),IF(C76=B76,1/((1+$F$14)^SUM($E$18:E76)),""))</f>
        <v/>
      </c>
    </row>
    <row r="77" spans="1:13" x14ac:dyDescent="0.25">
      <c r="B77" s="18">
        <v>60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IF(C76=$F$11,SUM($F$18:F76),IF(C77=B77,IF(C77=$F$11,I76,ROUND(H77-G77,2)),""))</f>
        <v/>
      </c>
      <c r="G77" s="17" t="str">
        <f>IF(C76=$F$11,SUM($G$18:G76),IF(C77=B77,ROUND(((($F$13+1)^((D77-D76)/360))-1)*I76,2),""))</f>
        <v/>
      </c>
      <c r="H77" s="17" t="str">
        <f>IF(C76=$F$11,SUM($H$18:H76),IF(C77=B77,IF(C77=$F$11,F77+G77,ROUND($I$17/VLOOKUP("Totales",$D$18:$K$117,8,FALSE),2)),""))</f>
        <v/>
      </c>
      <c r="I77" s="17" t="str">
        <f t="shared" si="5"/>
        <v/>
      </c>
      <c r="J77" s="17"/>
      <c r="K77" s="25" t="str">
        <f>IF(C76=$F$11,SUM($K$18:K76),IF(C77=B77,1/((1+$F$14)^SUM($E$18:E77)),""))</f>
        <v/>
      </c>
    </row>
    <row r="78" spans="1:13" x14ac:dyDescent="0.25">
      <c r="B78" s="18">
        <v>61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IF(C77=$F$11,SUM($F$18:F77),IF(C78=B78,IF(C78=$F$11,I77,ROUND(H78-G78,2)),""))</f>
        <v/>
      </c>
      <c r="G78" s="17" t="str">
        <f>IF(C77=$F$11,SUM($G$18:G77),IF(C78=B78,ROUND(((($F$13+1)^((D78-D77)/360))-1)*I77,2),""))</f>
        <v/>
      </c>
      <c r="H78" s="17" t="str">
        <f>IF(C77=$F$11,SUM($H$18:H77),IF(C78=B78,IF(C78=$F$11,F78+G78,ROUND($I$17/VLOOKUP("Totales",$D$18:$K$117,8,FALSE),2)),""))</f>
        <v/>
      </c>
      <c r="I78" s="17" t="str">
        <f t="shared" si="5"/>
        <v/>
      </c>
      <c r="J78" s="17"/>
      <c r="K78" s="25" t="str">
        <f>IF(C77=$F$11,SUM($K$18:K77),IF(C78=B78,1/((1+$F$14)^SUM($E$18:E78)),""))</f>
        <v/>
      </c>
    </row>
    <row r="79" spans="1:13" x14ac:dyDescent="0.25">
      <c r="B79" s="18">
        <v>62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IF(C78=$F$11,SUM($F$18:F78),IF(C79=B79,IF(C79=$F$11,I78,ROUND(H79-G79,2)),""))</f>
        <v/>
      </c>
      <c r="G79" s="17" t="str">
        <f>IF(C78=$F$11,SUM($G$18:G78),IF(C79=B79,ROUND(((($F$13+1)^((D79-D78)/360))-1)*I78,2),""))</f>
        <v/>
      </c>
      <c r="H79" s="17" t="str">
        <f>IF(C78=$F$11,SUM($H$18:H78),IF(C79=B79,IF(C79=$F$11,F79+G79,ROUND($I$17/VLOOKUP("Totales",$D$18:$K$117,8,FALSE),2)),""))</f>
        <v/>
      </c>
      <c r="I79" s="17" t="str">
        <f t="shared" si="5"/>
        <v/>
      </c>
      <c r="J79" s="17"/>
      <c r="K79" s="25" t="str">
        <f>IF(C78=$F$11,SUM($K$18:K78),IF(C79=B79,1/((1+$F$14)^SUM($E$18:E79)),""))</f>
        <v/>
      </c>
    </row>
    <row r="80" spans="1:13" x14ac:dyDescent="0.25">
      <c r="B80" s="18">
        <v>63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IF(C79=$F$11,SUM($F$18:F79),IF(C80=B80,IF(C80=$F$11,I79,ROUND(H80-G80,2)),""))</f>
        <v/>
      </c>
      <c r="G80" s="17" t="str">
        <f>IF(C79=$F$11,SUM($G$18:G79),IF(C80=B80,ROUND(((($F$13+1)^((D80-D79)/360))-1)*I79,2),""))</f>
        <v/>
      </c>
      <c r="H80" s="17" t="str">
        <f>IF(C79=$F$11,SUM($H$18:H79),IF(C80=B80,IF(C80=$F$11,F80+G80,ROUND($I$17/VLOOKUP("Totales",$D$18:$K$117,8,FALSE),2)),""))</f>
        <v/>
      </c>
      <c r="I80" s="17" t="str">
        <f t="shared" si="5"/>
        <v/>
      </c>
      <c r="J80" s="17"/>
      <c r="K80" s="25" t="str">
        <f>IF(C79=$F$11,SUM($K$18:K79),IF(C80=B80,1/((1+$F$14)^SUM($E$18:E80)),""))</f>
        <v/>
      </c>
    </row>
    <row r="81" spans="2:11" x14ac:dyDescent="0.25">
      <c r="B81" s="18">
        <v>64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IF(C80=$F$11,SUM($F$18:F80),IF(C81=B81,IF(C81=$F$11,I80,ROUND(H81-G81,2)),""))</f>
        <v/>
      </c>
      <c r="G81" s="17" t="str">
        <f>IF(C80=$F$11,SUM($G$18:G80),IF(C81=B81,ROUND(((($F$13+1)^((D81-D80)/360))-1)*I80,2),""))</f>
        <v/>
      </c>
      <c r="H81" s="17" t="str">
        <f>IF(C80=$F$11,SUM($H$18:H80),IF(C81=B81,IF(C81=$F$11,F81+G81,ROUND($I$17/VLOOKUP("Totales",$D$18:$K$117,8,FALSE),2)),""))</f>
        <v/>
      </c>
      <c r="I81" s="17" t="str">
        <f t="shared" si="5"/>
        <v/>
      </c>
      <c r="J81" s="17"/>
      <c r="K81" s="25" t="str">
        <f>IF(C80=$F$11,SUM($K$18:K80),IF(C81=B81,1/((1+$F$14)^SUM($E$18:E81)),""))</f>
        <v/>
      </c>
    </row>
    <row r="82" spans="2:11" x14ac:dyDescent="0.25">
      <c r="B82" s="18">
        <v>65</v>
      </c>
      <c r="C82" s="19" t="str">
        <f t="shared" si="1"/>
        <v/>
      </c>
      <c r="D82" s="20" t="str">
        <f t="shared" si="2"/>
        <v/>
      </c>
      <c r="E82" s="23" t="str">
        <f t="shared" si="4"/>
        <v/>
      </c>
      <c r="F82" s="17" t="str">
        <f>IF(C81=$F$11,SUM($F$18:F81),IF(C82=B82,IF(C82=$F$11,I81,ROUND(H82-G82,2)),""))</f>
        <v/>
      </c>
      <c r="G82" s="17" t="str">
        <f>IF(C81=$F$11,SUM($G$18:G81),IF(C82=B82,ROUND(((($F$13+1)^((D82-D81)/360))-1)*I81,2),""))</f>
        <v/>
      </c>
      <c r="H82" s="17" t="str">
        <f>IF(C81=$F$11,SUM($H$18:H81),IF(C82=B82,IF(C82=$F$11,F82+G82,ROUND($I$17/VLOOKUP("Totales",$D$18:$K$117,8,FALSE),2)),""))</f>
        <v/>
      </c>
      <c r="I82" s="17" t="str">
        <f t="shared" si="5"/>
        <v/>
      </c>
      <c r="J82" s="17"/>
      <c r="K82" s="25" t="str">
        <f>IF(C81=$F$11,SUM($K$18:K81),IF(C82=B82,1/((1+$F$14)^SUM($E$18:E82)),""))</f>
        <v/>
      </c>
    </row>
    <row r="83" spans="2:11" x14ac:dyDescent="0.25">
      <c r="B83" s="18">
        <v>66</v>
      </c>
      <c r="C83" s="19" t="str">
        <f t="shared" ref="C83:C117" si="6">IF(B83&lt;=$F$11,B83,"")</f>
        <v/>
      </c>
      <c r="D83" s="20" t="str">
        <f t="shared" ref="D83:D116" si="7">IF(C82=$F$11,"Totales",IF(B83&lt;=$F$11,DATE(IF(MONTH(D82)=20,YEAR(D82)+1,YEAR(D82)),IF(MONTH(D82)=20,1,IF(DAY(D82)&lt;10,MONTH(D82),MONTH(D82)+1)),20),""))</f>
        <v/>
      </c>
      <c r="E83" s="23" t="str">
        <f t="shared" si="4"/>
        <v/>
      </c>
      <c r="F83" s="17" t="str">
        <f>IF(C82=$F$11,SUM($F$18:F82),IF(C83=B83,IF(C83=$F$11,I82,ROUND(H83-G83,2)),""))</f>
        <v/>
      </c>
      <c r="G83" s="17" t="str">
        <f>IF(C82=$F$11,SUM($G$18:G82),IF(C83=B83,ROUND(((($F$13+1)^((D83-D82)/360))-1)*I82,2),""))</f>
        <v/>
      </c>
      <c r="H83" s="17" t="str">
        <f>IF(C82=$F$11,SUM($H$18:H82),IF(C83=B83,IF(C83=$F$11,F83+G83,ROUND($I$17/VLOOKUP("Totales",$D$18:$K$117,8,FALSE),2)),""))</f>
        <v/>
      </c>
      <c r="I83" s="17" t="str">
        <f t="shared" si="5"/>
        <v/>
      </c>
      <c r="J83" s="17"/>
      <c r="K83" s="25" t="str">
        <f>IF(C82=$F$11,SUM($K$18:K82),IF(C83=B83,1/((1+$F$14)^SUM($E$18:E83)),""))</f>
        <v/>
      </c>
    </row>
    <row r="84" spans="2:11" x14ac:dyDescent="0.25">
      <c r="B84" s="18">
        <v>67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IF(C83=$F$11,SUM($F$18:F83),IF(C84=B84,IF(C84=$F$11,I83,ROUND(H84-G84,2)),""))</f>
        <v/>
      </c>
      <c r="G84" s="17" t="str">
        <f>IF(C83=$F$11,SUM($G$18:G83),IF(C84=B84,ROUND(((($F$13+1)^((D84-D83)/360))-1)*I83,2),""))</f>
        <v/>
      </c>
      <c r="H84" s="17" t="str">
        <f>IF(C83=$F$11,SUM($H$18:H83),IF(C84=B84,IF(C84=$F$11,F84+G84,ROUND($I$17/VLOOKUP("Totales",$D$18:$K$117,8,FALSE),2)),""))</f>
        <v/>
      </c>
      <c r="I84" s="17" t="str">
        <f t="shared" si="5"/>
        <v/>
      </c>
      <c r="J84" s="17"/>
      <c r="K84" s="25" t="str">
        <f>IF(C83=$F$11,SUM($K$18:K83),IF(C84=B84,1/((1+$F$14)^SUM($E$18:E84)),""))</f>
        <v/>
      </c>
    </row>
    <row r="85" spans="2:11" x14ac:dyDescent="0.25">
      <c r="B85" s="18">
        <v>68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IF(C84=$F$11,SUM($F$18:F84),IF(C85=B85,IF(C85=$F$11,I84,ROUND(H85-G85,2)),""))</f>
        <v/>
      </c>
      <c r="G85" s="17" t="str">
        <f>IF(C84=$F$11,SUM($G$18:G84),IF(C85=B85,ROUND(((($F$13+1)^((D85-D84)/360))-1)*I84,2),""))</f>
        <v/>
      </c>
      <c r="H85" s="17" t="str">
        <f>IF(C84=$F$11,SUM($H$18:H84),IF(C85=B85,IF(C85=$F$11,F85+G85,ROUND($I$17/VLOOKUP("Totales",$D$18:$K$117,8,FALSE),2)),""))</f>
        <v/>
      </c>
      <c r="I85" s="17" t="str">
        <f t="shared" si="5"/>
        <v/>
      </c>
      <c r="J85" s="17"/>
      <c r="K85" s="25" t="str">
        <f>IF(C84=$F$11,SUM($K$18:K84),IF(C85=B85,1/((1+$F$14)^SUM($E$18:E85)),""))</f>
        <v/>
      </c>
    </row>
    <row r="86" spans="2:11" x14ac:dyDescent="0.25">
      <c r="B86" s="18">
        <v>69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IF(C85=$F$11,SUM($F$18:F85),IF(C86=B86,IF(C86=$F$11,I85,ROUND(H86-G86,2)),""))</f>
        <v/>
      </c>
      <c r="G86" s="17" t="str">
        <f>IF(C85=$F$11,SUM($G$18:G85),IF(C86=B86,ROUND(((($F$13+1)^((D86-D85)/360))-1)*I85,2),""))</f>
        <v/>
      </c>
      <c r="H86" s="17" t="str">
        <f>IF(C85=$F$11,SUM($H$18:H85),IF(C86=B86,IF(C86=$F$11,F86+G86,ROUND($I$17/VLOOKUP("Totales",$D$18:$K$117,8,FALSE),2)),""))</f>
        <v/>
      </c>
      <c r="I86" s="17" t="str">
        <f t="shared" si="5"/>
        <v/>
      </c>
      <c r="J86" s="17"/>
      <c r="K86" s="25" t="str">
        <f>IF(C85=$F$11,SUM($K$18:K85),IF(C86=B86,1/((1+$F$14)^SUM($E$18:E86)),""))</f>
        <v/>
      </c>
    </row>
    <row r="87" spans="2:11" x14ac:dyDescent="0.25">
      <c r="B87" s="18">
        <v>70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IF(C86=$F$11,SUM($F$18:F86),IF(C87=B87,IF(C87=$F$11,I86,ROUND(H87-G87,2)),""))</f>
        <v/>
      </c>
      <c r="G87" s="17" t="str">
        <f>IF(C86=$F$11,SUM($G$18:G86),IF(C87=B87,ROUND(((($F$13+1)^((D87-D86)/360))-1)*I86,2),""))</f>
        <v/>
      </c>
      <c r="H87" s="17" t="str">
        <f>IF(C86=$F$11,SUM($H$18:H86),IF(C87=B87,IF(C87=$F$11,F87+G87,ROUND($I$17/VLOOKUP("Totales",$D$18:$K$117,8,FALSE),2)),""))</f>
        <v/>
      </c>
      <c r="I87" s="17" t="str">
        <f t="shared" si="5"/>
        <v/>
      </c>
      <c r="J87" s="17"/>
      <c r="K87" s="25" t="str">
        <f>IF(C86=$F$11,SUM($K$18:K86),IF(C87=B87,1/((1+$F$14)^SUM($E$18:E87)),""))</f>
        <v/>
      </c>
    </row>
    <row r="88" spans="2:11" x14ac:dyDescent="0.25">
      <c r="B88" s="18">
        <v>71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IF(C87=$F$11,SUM($F$18:F87),IF(C88=B88,IF(C88=$F$11,I87,ROUND(H88-G88,2)),""))</f>
        <v/>
      </c>
      <c r="G88" s="17" t="str">
        <f>IF(C87=$F$11,SUM($G$18:G87),IF(C88=B88,ROUND(((($F$13+1)^((D88-D87)/360))-1)*I87,2),""))</f>
        <v/>
      </c>
      <c r="H88" s="17" t="str">
        <f>IF(C87=$F$11,SUM($H$18:H87),IF(C88=B88,IF(C88=$F$11,F88+G88,ROUND($I$17/VLOOKUP("Totales",$D$18:$K$117,8,FALSE),2)),""))</f>
        <v/>
      </c>
      <c r="I88" s="17" t="str">
        <f t="shared" si="5"/>
        <v/>
      </c>
      <c r="J88" s="17"/>
      <c r="K88" s="25" t="str">
        <f>IF(C87=$F$11,SUM($K$18:K87),IF(C88=B88,1/((1+$F$14)^SUM($E$18:E88)),""))</f>
        <v/>
      </c>
    </row>
    <row r="89" spans="2:11" x14ac:dyDescent="0.25">
      <c r="B89" s="18">
        <v>72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IF(C88=$F$11,SUM($F$18:F88),IF(C89=B89,IF(C89=$F$11,I88,ROUND(H89-G89,2)),""))</f>
        <v/>
      </c>
      <c r="G89" s="17" t="str">
        <f>IF(C88=$F$11,SUM($G$18:G88),IF(C89=B89,ROUND(((($F$13+1)^((D89-D88)/360))-1)*I88,2),""))</f>
        <v/>
      </c>
      <c r="H89" s="17" t="str">
        <f>IF(C88=$F$11,SUM($H$18:H88),IF(C89=B89,IF(C89=$F$11,F89+G89,ROUND($I$17/VLOOKUP("Totales",$D$18:$K$117,8,FALSE),2)),""))</f>
        <v/>
      </c>
      <c r="I89" s="17" t="str">
        <f t="shared" si="5"/>
        <v/>
      </c>
      <c r="J89" s="17"/>
      <c r="K89" s="25" t="str">
        <f>IF(C88=$F$11,SUM($K$18:K88),IF(C89=B89,1/((1+$F$14)^SUM($E$18:E89)),""))</f>
        <v/>
      </c>
    </row>
    <row r="90" spans="2:11" x14ac:dyDescent="0.25">
      <c r="B90" s="18">
        <v>73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IF(C89=$F$11,SUM($F$18:F89),IF(C90=B90,IF(C90=$F$11,I89,ROUND(H90-G90,2)),""))</f>
        <v/>
      </c>
      <c r="G90" s="17" t="str">
        <f>IF(C89=$F$11,SUM($G$18:G89),IF(C90=B90,ROUND(((($F$13+1)^((D90-D89)/360))-1)*I89,2),""))</f>
        <v/>
      </c>
      <c r="H90" s="17" t="str">
        <f>IF(C89=$F$11,SUM($H$18:H89),IF(C90=B90,IF(C90=$F$11,F90+G90,ROUND($I$17/VLOOKUP("Totales",$D$18:$K$117,8,FALSE),2)),""))</f>
        <v/>
      </c>
      <c r="I90" s="17" t="str">
        <f t="shared" si="5"/>
        <v/>
      </c>
      <c r="J90" s="17"/>
      <c r="K90" s="25" t="str">
        <f>IF(C89=$F$11,SUM($K$18:K89),IF(C90=B90,1/((1+$F$14)^SUM($E$18:E90)),""))</f>
        <v/>
      </c>
    </row>
    <row r="91" spans="2:11" x14ac:dyDescent="0.25">
      <c r="B91" s="18">
        <v>74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IF(C90=$F$11,SUM($F$18:F90),IF(C91=B91,IF(C91=$F$11,I90,ROUND(H91-G91,2)),""))</f>
        <v/>
      </c>
      <c r="G91" s="17" t="str">
        <f>IF(C90=$F$11,SUM($G$18:G90),IF(C91=B91,ROUND(((($F$13+1)^((D91-D90)/360))-1)*I90,2),""))</f>
        <v/>
      </c>
      <c r="H91" s="17" t="str">
        <f>IF(C90=$F$11,SUM($H$18:H90),IF(C91=B91,IF(C91=$F$11,F91+G91,ROUND($I$17/VLOOKUP("Totales",$D$18:$K$117,8,FALSE),2)),""))</f>
        <v/>
      </c>
      <c r="I91" s="17" t="str">
        <f t="shared" si="5"/>
        <v/>
      </c>
      <c r="J91" s="17"/>
      <c r="K91" s="25" t="str">
        <f>IF(C90=$F$11,SUM($K$18:K90),IF(C91=B91,1/((1+$F$14)^SUM($E$18:E91)),""))</f>
        <v/>
      </c>
    </row>
    <row r="92" spans="2:11" x14ac:dyDescent="0.25">
      <c r="B92" s="18">
        <v>75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IF(C91=$F$11,SUM($F$18:F91),IF(C92=B92,IF(C92=$F$11,I91,ROUND(H92-G92,2)),""))</f>
        <v/>
      </c>
      <c r="G92" s="17" t="str">
        <f>IF(C91=$F$11,SUM($G$18:G91),IF(C92=B92,ROUND(((($F$13+1)^((D92-D91)/360))-1)*I91,2),""))</f>
        <v/>
      </c>
      <c r="H92" s="17" t="str">
        <f>IF(C91=$F$11,SUM($H$18:H91),IF(C92=B92,IF(C92=$F$11,F92+G92,ROUND($I$17/VLOOKUP("Totales",$D$18:$K$117,8,FALSE),2)),""))</f>
        <v/>
      </c>
      <c r="I92" s="17" t="str">
        <f t="shared" si="5"/>
        <v/>
      </c>
      <c r="J92" s="17"/>
      <c r="K92" s="25" t="str">
        <f>IF(C91=$F$11,SUM($K$18:K91),IF(C92=B92,1/((1+$F$14)^SUM($E$18:E92)),""))</f>
        <v/>
      </c>
    </row>
    <row r="93" spans="2:11" x14ac:dyDescent="0.25">
      <c r="B93" s="18">
        <v>76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IF(C92=$F$11,SUM($F$18:F92),IF(C93=B93,IF(C93=$F$11,I92,ROUND(H93-G93,2)),""))</f>
        <v/>
      </c>
      <c r="G93" s="17" t="str">
        <f>IF(C92=$F$11,SUM($G$18:G92),IF(C93=B93,ROUND(((($F$13+1)^((D93-D92)/360))-1)*I92,2),""))</f>
        <v/>
      </c>
      <c r="H93" s="17" t="str">
        <f>IF(C92=$F$11,SUM($H$18:H92),IF(C93=B93,IF(C93=$F$11,F93+G93,ROUND($I$17/VLOOKUP("Totales",$D$18:$K$117,8,FALSE),2)),""))</f>
        <v/>
      </c>
      <c r="I93" s="17" t="str">
        <f t="shared" si="5"/>
        <v/>
      </c>
      <c r="J93" s="17"/>
      <c r="K93" s="25" t="str">
        <f>IF(C92=$F$11,SUM($K$18:K92),IF(C93=B93,1/((1+$F$14)^SUM($E$18:E93)),""))</f>
        <v/>
      </c>
    </row>
    <row r="94" spans="2:11" x14ac:dyDescent="0.25">
      <c r="B94" s="18">
        <v>77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IF(C93=$F$11,SUM($F$18:F93),IF(C94=B94,IF(C94=$F$11,I93,ROUND(H94-G94,2)),""))</f>
        <v/>
      </c>
      <c r="G94" s="17" t="str">
        <f>IF(C93=$F$11,SUM($G$18:G93),IF(C94=B94,ROUND(((($F$13+1)^((D94-D93)/360))-1)*I93,2),""))</f>
        <v/>
      </c>
      <c r="H94" s="17" t="str">
        <f>IF(C93=$F$11,SUM($H$18:H93),IF(C94=B94,IF(C94=$F$11,F94+G94,ROUND($I$17/VLOOKUP("Totales",$D$18:$K$117,8,FALSE),2)),""))</f>
        <v/>
      </c>
      <c r="I94" s="17" t="str">
        <f t="shared" si="5"/>
        <v/>
      </c>
      <c r="J94" s="17"/>
      <c r="K94" s="25" t="str">
        <f>IF(C93=$F$11,SUM($K$18:K93),IF(C94=B94,1/((1+$F$14)^SUM($E$18:E94)),""))</f>
        <v/>
      </c>
    </row>
    <row r="95" spans="2:11" x14ac:dyDescent="0.25">
      <c r="B95" s="18">
        <v>78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IF(C94=$F$11,SUM($F$18:F94),IF(C95=B95,IF(C95=$F$11,I94,ROUND(H95-G95,2)),""))</f>
        <v/>
      </c>
      <c r="G95" s="17" t="str">
        <f>IF(C94=$F$11,SUM($G$18:G94),IF(C95=B95,ROUND(((($F$13+1)^((D95-D94)/360))-1)*I94,2),""))</f>
        <v/>
      </c>
      <c r="H95" s="17" t="str">
        <f>IF(C94=$F$11,SUM($H$18:H94),IF(C95=B95,IF(C95=$F$11,F95+G95,ROUND($I$17/VLOOKUP("Totales",$D$18:$K$117,8,FALSE),2)),""))</f>
        <v/>
      </c>
      <c r="I95" s="17" t="str">
        <f t="shared" si="5"/>
        <v/>
      </c>
      <c r="J95" s="17"/>
      <c r="K95" s="25" t="str">
        <f>IF(C94=$F$11,SUM($K$18:K94),IF(C95=B95,1/((1+$F$14)^SUM($E$18:E95)),""))</f>
        <v/>
      </c>
    </row>
    <row r="96" spans="2:11" x14ac:dyDescent="0.25">
      <c r="B96" s="18">
        <v>79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IF(C95=$F$11,SUM($F$18:F95),IF(C96=B96,IF(C96=$F$11,I95,ROUND(H96-G96,2)),""))</f>
        <v/>
      </c>
      <c r="G96" s="17" t="str">
        <f>IF(C95=$F$11,SUM($G$18:G95),IF(C96=B96,ROUND(((($F$13+1)^((D96-D95)/360))-1)*I95,2),""))</f>
        <v/>
      </c>
      <c r="H96" s="17" t="str">
        <f>IF(C95=$F$11,SUM($H$18:H95),IF(C96=B96,IF(C96=$F$11,F96+G96,ROUND($I$17/VLOOKUP("Totales",$D$18:$K$117,8,FALSE),2)),""))</f>
        <v/>
      </c>
      <c r="I96" s="17" t="str">
        <f t="shared" si="5"/>
        <v/>
      </c>
      <c r="J96" s="17"/>
      <c r="K96" s="25" t="str">
        <f>IF(C95=$F$11,SUM($K$18:K95),IF(C96=B96,1/((1+$F$14)^SUM($E$18:E96)),""))</f>
        <v/>
      </c>
    </row>
    <row r="97" spans="2:11" x14ac:dyDescent="0.25">
      <c r="B97" s="18">
        <v>80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IF(C96=$F$11,SUM($F$18:F96),IF(C97=B97,IF(C97=$F$11,I96,ROUND(H97-G97,2)),""))</f>
        <v/>
      </c>
      <c r="G97" s="17" t="str">
        <f>IF(C96=$F$11,SUM($G$18:G96),IF(C97=B97,ROUND(((($F$13+1)^((D97-D96)/360))-1)*I96,2),""))</f>
        <v/>
      </c>
      <c r="H97" s="17" t="str">
        <f>IF(C96=$F$11,SUM($H$18:H96),IF(C97=B97,IF(C97=$F$11,F97+G97,ROUND($I$17/VLOOKUP("Totales",$D$18:$K$117,8,FALSE),2)),""))</f>
        <v/>
      </c>
      <c r="I97" s="17" t="str">
        <f t="shared" si="5"/>
        <v/>
      </c>
      <c r="J97" s="17"/>
      <c r="K97" s="25" t="str">
        <f>IF(C96=$F$11,SUM($K$18:K96),IF(C97=B97,1/((1+$F$14)^SUM($E$18:E97)),""))</f>
        <v/>
      </c>
    </row>
    <row r="98" spans="2:11" x14ac:dyDescent="0.25">
      <c r="B98" s="18">
        <v>81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IF(C97=$F$11,SUM($F$18:F97),IF(C98=B98,IF(C98=$F$11,I97,ROUND(H98-G98,2)),""))</f>
        <v/>
      </c>
      <c r="G98" s="17" t="str">
        <f>IF(C97=$F$11,SUM($G$18:G97),IF(C98=B98,ROUND(((($F$13+1)^((D98-D97)/360))-1)*I97,2),""))</f>
        <v/>
      </c>
      <c r="H98" s="17" t="str">
        <f>IF(C97=$F$11,SUM($H$18:H97),IF(C98=B98,IF(C98=$F$11,F98+G98,ROUND($I$17/VLOOKUP("Totales",$D$18:$K$117,8,FALSE),2)),""))</f>
        <v/>
      </c>
      <c r="I98" s="17" t="str">
        <f t="shared" si="5"/>
        <v/>
      </c>
      <c r="J98" s="17"/>
      <c r="K98" s="25" t="str">
        <f>IF(C97=$F$11,SUM($K$18:K97),IF(C98=B98,1/((1+$F$14)^SUM($E$18:E98)),""))</f>
        <v/>
      </c>
    </row>
    <row r="99" spans="2:11" x14ac:dyDescent="0.25">
      <c r="B99" s="18">
        <v>82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IF(C98=$F$11,SUM($F$18:F98),IF(C99=B99,IF(C99=$F$11,I98,ROUND(H99-G99,2)),""))</f>
        <v/>
      </c>
      <c r="G99" s="17" t="str">
        <f>IF(C98=$F$11,SUM($G$18:G98),IF(C99=B99,ROUND(((($F$13+1)^((D99-D98)/360))-1)*I98,2),""))</f>
        <v/>
      </c>
      <c r="H99" s="17" t="str">
        <f>IF(C98=$F$11,SUM($H$18:H98),IF(C99=B99,IF(C99=$F$11,F99+G99,ROUND($I$17/VLOOKUP("Totales",$D$18:$K$117,8,FALSE),2)),""))</f>
        <v/>
      </c>
      <c r="I99" s="17" t="str">
        <f t="shared" si="5"/>
        <v/>
      </c>
      <c r="J99" s="17"/>
      <c r="K99" s="25" t="str">
        <f>IF(C98=$F$11,SUM($K$18:K98),IF(C99=B99,1/((1+$F$14)^SUM($E$18:E99)),""))</f>
        <v/>
      </c>
    </row>
    <row r="100" spans="2:11" x14ac:dyDescent="0.25">
      <c r="B100" s="18">
        <v>83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IF(C99=$F$11,SUM($F$18:F99),IF(C100=B100,IF(C100=$F$11,I99,ROUND(H100-G100,2)),""))</f>
        <v/>
      </c>
      <c r="G100" s="17" t="str">
        <f>IF(C99=$F$11,SUM($G$18:G99),IF(C100=B100,ROUND(((($F$13+1)^((D100-D99)/360))-1)*I99,2),""))</f>
        <v/>
      </c>
      <c r="H100" s="17" t="str">
        <f>IF(C99=$F$11,SUM($H$18:H99),IF(C100=B100,IF(C100=$F$11,F100+G100,ROUND($I$17/VLOOKUP("Totales",$D$18:$K$117,8,FALSE),2)),""))</f>
        <v/>
      </c>
      <c r="I100" s="17" t="str">
        <f t="shared" si="5"/>
        <v/>
      </c>
      <c r="J100" s="17"/>
      <c r="K100" s="25" t="str">
        <f>IF(C99=$F$11,SUM($K$18:K99),IF(C100=B100,1/((1+$F$14)^SUM($E$18:E100)),""))</f>
        <v/>
      </c>
    </row>
    <row r="101" spans="2:11" x14ac:dyDescent="0.25">
      <c r="B101" s="18">
        <v>84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IF(C100=$F$11,SUM($F$18:F100),IF(C101=B101,IF(C101=$F$11,I100,ROUND(H101-G101,2)),""))</f>
        <v/>
      </c>
      <c r="G101" s="17" t="str">
        <f>IF(C100=$F$11,SUM($G$18:G100),IF(C101=B101,ROUND(((($F$13+1)^((D101-D100)/360))-1)*I100,2),""))</f>
        <v/>
      </c>
      <c r="H101" s="17" t="str">
        <f>IF(C100=$F$11,SUM($H$18:H100),IF(C101=B101,IF(C101=$F$11,F101+G101,ROUND($I$17/VLOOKUP("Totales",$D$18:$K$117,8,FALSE),2)),""))</f>
        <v/>
      </c>
      <c r="I101" s="17" t="str">
        <f t="shared" si="5"/>
        <v/>
      </c>
      <c r="J101" s="17"/>
      <c r="K101" s="25" t="str">
        <f>IF(C100=$F$11,SUM($K$18:K100),IF(C101=B101,1/((1+$F$14)^SUM($E$18:E101)),""))</f>
        <v/>
      </c>
    </row>
    <row r="102" spans="2:11" x14ac:dyDescent="0.25">
      <c r="B102" s="18">
        <v>85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IF(C101=$F$11,SUM($F$18:F101),IF(C102=B102,IF(C102=$F$11,I101,ROUND(H102-G102,2)),""))</f>
        <v/>
      </c>
      <c r="G102" s="17" t="str">
        <f>IF(C101=$F$11,SUM($G$18:G101),IF(C102=B102,ROUND(((($F$13+1)^((D102-D101)/360))-1)*I101,2),""))</f>
        <v/>
      </c>
      <c r="H102" s="17" t="str">
        <f>IF(C101=$F$11,SUM($H$18:H101),IF(C102=B102,IF(C102=$F$11,F102+G102,ROUND($I$17/VLOOKUP("Totales",$D$18:$K$117,8,FALSE),2)),""))</f>
        <v/>
      </c>
      <c r="I102" s="17" t="str">
        <f t="shared" si="5"/>
        <v/>
      </c>
      <c r="J102" s="17"/>
      <c r="K102" s="25" t="str">
        <f>IF(C101=$F$11,SUM($K$18:K101),IF(C102=B102,1/((1+$F$14)^SUM($E$18:E102)),""))</f>
        <v/>
      </c>
    </row>
    <row r="103" spans="2:11" x14ac:dyDescent="0.25">
      <c r="B103" s="18">
        <v>86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IF(C102=$F$11,SUM($F$18:F102),IF(C103=B103,IF(C103=$F$11,I102,ROUND(H103-G103,2)),""))</f>
        <v/>
      </c>
      <c r="G103" s="17" t="str">
        <f>IF(C102=$F$11,SUM($G$18:G102),IF(C103=B103,ROUND(((($F$13+1)^((D103-D102)/360))-1)*I102,2),""))</f>
        <v/>
      </c>
      <c r="H103" s="17" t="str">
        <f>IF(C102=$F$11,SUM($H$18:H102),IF(C103=B103,IF(C103=$F$11,F103+G103,ROUND($I$17/VLOOKUP("Totales",$D$18:$K$117,8,FALSE),2)),""))</f>
        <v/>
      </c>
      <c r="I103" s="17" t="str">
        <f t="shared" si="5"/>
        <v/>
      </c>
      <c r="J103" s="17"/>
      <c r="K103" s="25" t="str">
        <f>IF(C102=$F$11,SUM($K$18:K102),IF(C103=B103,1/((1+$F$14)^SUM($E$18:E103)),""))</f>
        <v/>
      </c>
    </row>
    <row r="104" spans="2:11" x14ac:dyDescent="0.25">
      <c r="B104" s="18">
        <v>87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IF(C103=$F$11,SUM($F$18:F103),IF(C104=B104,IF(C104=$F$11,I103,ROUND(H104-G104,2)),""))</f>
        <v/>
      </c>
      <c r="G104" s="17" t="str">
        <f>IF(C103=$F$11,SUM($G$18:G103),IF(C104=B104,ROUND(((($F$13+1)^((D104-D103)/360))-1)*I103,2),""))</f>
        <v/>
      </c>
      <c r="H104" s="17" t="str">
        <f>IF(C103=$F$11,SUM($H$18:H103),IF(C104=B104,IF(C104=$F$11,F104+G104,ROUND($I$17/VLOOKUP("Totales",$D$18:$K$117,8,FALSE),2)),""))</f>
        <v/>
      </c>
      <c r="I104" s="17" t="str">
        <f t="shared" si="5"/>
        <v/>
      </c>
      <c r="J104" s="17"/>
      <c r="K104" s="25" t="str">
        <f>IF(C103=$F$11,SUM($K$18:K103),IF(C104=B104,1/((1+$F$14)^SUM($E$18:E104)),""))</f>
        <v/>
      </c>
    </row>
    <row r="105" spans="2:11" x14ac:dyDescent="0.25">
      <c r="B105" s="18">
        <v>88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IF(C104=$F$11,SUM($F$18:F104),IF(C105=B105,IF(C105=$F$11,I104,ROUND(H105-G105,2)),""))</f>
        <v/>
      </c>
      <c r="G105" s="17" t="str">
        <f>IF(C104=$F$11,SUM($G$18:G104),IF(C105=B105,ROUND(((($F$13+1)^((D105-D104)/360))-1)*I104,2),""))</f>
        <v/>
      </c>
      <c r="H105" s="17" t="str">
        <f>IF(C104=$F$11,SUM($H$18:H104),IF(C105=B105,IF(C105=$F$11,F105+G105,ROUND($I$17/VLOOKUP("Totales",$D$18:$K$117,8,FALSE),2)),""))</f>
        <v/>
      </c>
      <c r="I105" s="17" t="str">
        <f t="shared" si="5"/>
        <v/>
      </c>
      <c r="J105" s="17"/>
      <c r="K105" s="25" t="str">
        <f>IF(C104=$F$11,SUM($K$18:K104),IF(C105=B105,1/((1+$F$14)^SUM($E$18:E105)),""))</f>
        <v/>
      </c>
    </row>
    <row r="106" spans="2:11" x14ac:dyDescent="0.25">
      <c r="B106" s="18">
        <v>89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IF(C105=$F$11,SUM($F$18:F105),IF(C106=B106,IF(C106=$F$11,I105,ROUND(H106-G106,2)),""))</f>
        <v/>
      </c>
      <c r="G106" s="17" t="str">
        <f>IF(C105=$F$11,SUM($G$18:G105),IF(C106=B106,ROUND(((($F$13+1)^((D106-D105)/360))-1)*I105,2),""))</f>
        <v/>
      </c>
      <c r="H106" s="17" t="str">
        <f>IF(C105=$F$11,SUM($H$18:H105),IF(C106=B106,IF(C106=$F$11,F106+G106,ROUND($I$17/VLOOKUP("Totales",$D$18:$K$117,8,FALSE),2)),""))</f>
        <v/>
      </c>
      <c r="I106" s="17" t="str">
        <f t="shared" si="5"/>
        <v/>
      </c>
      <c r="J106" s="17"/>
      <c r="K106" s="25" t="str">
        <f>IF(C105=$F$11,SUM($K$18:K105),IF(C106=B106,1/((1+$F$14)^SUM($E$18:E106)),""))</f>
        <v/>
      </c>
    </row>
    <row r="107" spans="2:11" x14ac:dyDescent="0.25">
      <c r="B107" s="18">
        <v>90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IF(C106=$F$11,SUM($F$18:F106),IF(C107=B107,IF(C107=$F$11,I106,ROUND(H107-G107,2)),""))</f>
        <v/>
      </c>
      <c r="G107" s="17" t="str">
        <f>IF(C106=$F$11,SUM($G$18:G106),IF(C107=B107,ROUND(((($F$13+1)^((D107-D106)/360))-1)*I106,2),""))</f>
        <v/>
      </c>
      <c r="H107" s="17" t="str">
        <f>IF(C106=$F$11,SUM($H$18:H106),IF(C107=B107,IF(C107=$F$11,F107+G107,ROUND($I$17/VLOOKUP("Totales",$D$18:$K$117,8,FALSE),2)),""))</f>
        <v/>
      </c>
      <c r="I107" s="17" t="str">
        <f t="shared" si="5"/>
        <v/>
      </c>
      <c r="J107" s="17"/>
      <c r="K107" s="25" t="str">
        <f>IF(C106=$F$11,SUM($K$18:K106),IF(C107=B107,1/((1+$F$14)^SUM($E$18:E107)),""))</f>
        <v/>
      </c>
    </row>
    <row r="108" spans="2:11" x14ac:dyDescent="0.25">
      <c r="B108" s="18">
        <v>91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IF(C107=$F$11,SUM($F$18:F107),IF(C108=B108,IF(C108=$F$11,I107,ROUND(H108-G108,2)),""))</f>
        <v/>
      </c>
      <c r="G108" s="17" t="str">
        <f>IF(C107=$F$11,SUM($G$18:G107),IF(C108=B108,ROUND(((($F$13+1)^((D108-D107)/360))-1)*I107,2),""))</f>
        <v/>
      </c>
      <c r="H108" s="17" t="str">
        <f>IF(C107=$F$11,SUM($H$18:H107),IF(C108=B108,IF(C108=$F$11,F108+G108,ROUND($I$17/VLOOKUP("Totales",$D$18:$K$117,8,FALSE),2)),""))</f>
        <v/>
      </c>
      <c r="I108" s="17" t="str">
        <f t="shared" si="5"/>
        <v/>
      </c>
      <c r="J108" s="17"/>
      <c r="K108" s="25" t="str">
        <f>IF(C107=$F$11,SUM($K$18:K107),IF(C108=B108,1/((1+$F$14)^SUM($E$18:E108)),""))</f>
        <v/>
      </c>
    </row>
    <row r="109" spans="2:11" x14ac:dyDescent="0.25">
      <c r="B109" s="18">
        <v>92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IF(C108=$F$11,SUM($F$18:F108),IF(C109=B109,IF(C109=$F$11,I108,ROUND(H109-G109,2)),""))</f>
        <v/>
      </c>
      <c r="G109" s="17" t="str">
        <f>IF(C108=$F$11,SUM($G$18:G108),IF(C109=B109,ROUND(((($F$13+1)^((D109-D108)/360))-1)*I108,2),""))</f>
        <v/>
      </c>
      <c r="H109" s="17" t="str">
        <f>IF(C108=$F$11,SUM($H$18:H108),IF(C109=B109,IF(C109=$F$11,F109+G109,ROUND($I$17/VLOOKUP("Totales",$D$18:$K$117,8,FALSE),2)),""))</f>
        <v/>
      </c>
      <c r="I109" s="17" t="str">
        <f t="shared" si="5"/>
        <v/>
      </c>
      <c r="J109" s="17"/>
      <c r="K109" s="25" t="str">
        <f>IF(C108=$F$11,SUM($K$18:K108),IF(C109=B109,1/((1+$F$14)^SUM($E$18:E109)),""))</f>
        <v/>
      </c>
    </row>
    <row r="110" spans="2:11" x14ac:dyDescent="0.25">
      <c r="B110" s="18">
        <v>93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IF(C109=$F$11,SUM($F$18:F109),IF(C110=B110,IF(C110=$F$11,I109,ROUND(H110-G110,2)),""))</f>
        <v/>
      </c>
      <c r="G110" s="17" t="str">
        <f>IF(C109=$F$11,SUM($G$18:G109),IF(C110=B110,ROUND(((($F$13+1)^((D110-D109)/360))-1)*I109,2),""))</f>
        <v/>
      </c>
      <c r="H110" s="17" t="str">
        <f>IF(C109=$F$11,SUM($H$18:H109),IF(C110=B110,IF(C110=$F$11,F110+G110,ROUND($I$17/VLOOKUP("Totales",$D$18:$K$117,8,FALSE),2)),""))</f>
        <v/>
      </c>
      <c r="I110" s="17" t="str">
        <f t="shared" si="5"/>
        <v/>
      </c>
      <c r="J110" s="17"/>
      <c r="K110" s="25" t="str">
        <f>IF(C109=$F$11,SUM($K$18:K109),IF(C110=B110,1/((1+$F$14)^SUM($E$18:E110)),""))</f>
        <v/>
      </c>
    </row>
    <row r="111" spans="2:11" x14ac:dyDescent="0.25">
      <c r="B111" s="18">
        <v>94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IF(C110=$F$11,SUM($F$18:F110),IF(C111=B111,IF(C111=$F$11,I110,ROUND(H111-G111,2)),""))</f>
        <v/>
      </c>
      <c r="G111" s="17" t="str">
        <f>IF(C110=$F$11,SUM($G$18:G110),IF(C111=B111,ROUND(((($F$13+1)^((D111-D110)/360))-1)*I110,2),""))</f>
        <v/>
      </c>
      <c r="H111" s="17" t="str">
        <f>IF(C110=$F$11,SUM($H$18:H110),IF(C111=B111,IF(C111=$F$11,F111+G111,ROUND($I$17/VLOOKUP("Totales",$D$18:$K$117,8,FALSE),2)),""))</f>
        <v/>
      </c>
      <c r="I111" s="17" t="str">
        <f t="shared" si="5"/>
        <v/>
      </c>
      <c r="J111" s="17"/>
      <c r="K111" s="25" t="str">
        <f>IF(C110=$F$11,SUM($K$18:K110),IF(C111=B111,1/((1+$F$14)^SUM($E$18:E111)),""))</f>
        <v/>
      </c>
    </row>
    <row r="112" spans="2:11" x14ac:dyDescent="0.25">
      <c r="B112" s="18">
        <v>95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IF(C111=$F$11,SUM($F$18:F111),IF(C112=B112,IF(C112=$F$11,I111,ROUND(H112-G112,2)),""))</f>
        <v/>
      </c>
      <c r="G112" s="17" t="str">
        <f>IF(C111=$F$11,SUM($G$18:G111),IF(C112=B112,ROUND(((($F$13+1)^((D112-D111)/360))-1)*I111,2),""))</f>
        <v/>
      </c>
      <c r="H112" s="17" t="str">
        <f>IF(C111=$F$11,SUM($H$18:H111),IF(C112=B112,IF(C112=$F$11,F112+G112,ROUND($I$17/VLOOKUP("Totales",$D$18:$K$117,8,FALSE),2)),""))</f>
        <v/>
      </c>
      <c r="I112" s="17" t="str">
        <f t="shared" si="5"/>
        <v/>
      </c>
      <c r="J112" s="17"/>
      <c r="K112" s="25" t="str">
        <f>IF(C111=$F$11,SUM($K$18:K111),IF(C112=B112,1/((1+$F$14)^SUM($E$18:E112)),""))</f>
        <v/>
      </c>
    </row>
    <row r="113" spans="2:11" x14ac:dyDescent="0.25">
      <c r="B113" s="18">
        <v>96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IF(C112=$F$11,SUM($F$18:F112),IF(C113=B113,IF(C113=$F$11,I112,ROUND(H113-G113,2)),""))</f>
        <v/>
      </c>
      <c r="G113" s="17" t="str">
        <f>IF(C112=$F$11,SUM($G$18:G112),IF(C113=B113,ROUND(((($F$13+1)^((D113-D112)/360))-1)*I112,2),""))</f>
        <v/>
      </c>
      <c r="H113" s="17" t="str">
        <f>IF(C112=$F$11,SUM($H$18:H112),IF(C113=B113,IF(C113=$F$11,F113+G113,ROUND($I$17/VLOOKUP("Totales",$D$18:$K$117,8,FALSE),2)),""))</f>
        <v/>
      </c>
      <c r="I113" s="17" t="str">
        <f t="shared" si="5"/>
        <v/>
      </c>
      <c r="J113" s="17"/>
      <c r="K113" s="25" t="str">
        <f>IF(C112=$F$11,SUM($K$18:K112),IF(C113=B113,1/((1+$F$14)^SUM($E$18:E113)),""))</f>
        <v/>
      </c>
    </row>
    <row r="114" spans="2:11" x14ac:dyDescent="0.25">
      <c r="B114" s="18">
        <v>97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IF(C113=$F$11,SUM($F$18:F113),IF(C114=B114,IF(C114=$F$11,I113,ROUND(H114-G114,2)),""))</f>
        <v/>
      </c>
      <c r="G114" s="17" t="str">
        <f>IF(C113=$F$11,SUM($G$18:G113),IF(C114=B114,ROUND(((($F$13+1)^((D114-D113)/360))-1)*I113,2),""))</f>
        <v/>
      </c>
      <c r="H114" s="17" t="str">
        <f>IF(C113=$F$11,SUM($H$18:H113),IF(C114=B114,IF(C114=$F$11,F114+G114,ROUND($I$17/VLOOKUP("Totales",$D$18:$K$117,8,FALSE),2)),""))</f>
        <v/>
      </c>
      <c r="I114" s="17" t="str">
        <f t="shared" si="5"/>
        <v/>
      </c>
      <c r="J114" s="17"/>
      <c r="K114" s="25" t="str">
        <f>IF(C113=$F$11,SUM($K$18:K113),IF(C114=B114,1/((1+$F$14)^SUM($E$18:E114)),""))</f>
        <v/>
      </c>
    </row>
    <row r="115" spans="2:11" x14ac:dyDescent="0.25">
      <c r="B115" s="18">
        <v>98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IF(C114=$F$11,SUM($F$18:F114),IF(C115=B115,IF(C115=$F$11,I114,ROUND(H115-G115,2)),""))</f>
        <v/>
      </c>
      <c r="G115" s="17" t="str">
        <f>IF(C114=$F$11,SUM($G$18:G114),IF(C115=B115,ROUND(((($F$13+1)^((D115-D114)/360))-1)*I114,2),""))</f>
        <v/>
      </c>
      <c r="H115" s="17" t="str">
        <f>IF(C114=$F$11,SUM($H$18:H114),IF(C115=B115,IF(C115=$F$11,F115+G115,ROUND($I$17/VLOOKUP("Totales",$D$18:$K$117,8,FALSE),2)),""))</f>
        <v/>
      </c>
      <c r="I115" s="17" t="str">
        <f t="shared" si="5"/>
        <v/>
      </c>
      <c r="J115" s="17"/>
      <c r="K115" s="25" t="str">
        <f>IF(C114=$F$11,SUM($K$18:K114),IF(C115=B115,1/((1+$F$14)^SUM($E$18:E115)),""))</f>
        <v/>
      </c>
    </row>
    <row r="116" spans="2:11" x14ac:dyDescent="0.25">
      <c r="B116" s="18">
        <v>99</v>
      </c>
      <c r="C116" s="19" t="str">
        <f t="shared" si="6"/>
        <v/>
      </c>
      <c r="D116" s="20" t="str">
        <f t="shared" si="7"/>
        <v/>
      </c>
      <c r="E116" s="23" t="str">
        <f t="shared" si="4"/>
        <v/>
      </c>
      <c r="F116" s="17" t="str">
        <f>IF(C115=$F$11,SUM($F$18:F115),IF(C116=B116,IF(C116=$F$11,I115,ROUND(H116-G116,2)),""))</f>
        <v/>
      </c>
      <c r="G116" s="17" t="str">
        <f>IF(C115=$F$11,SUM($G$18:G115),IF(C116=B116,ROUND(((($F$13+1)^((D116-D115)/360))-1)*I115,2),""))</f>
        <v/>
      </c>
      <c r="H116" s="17" t="str">
        <f>IF(C115=$F$11,SUM($H$18:H115),IF(C116=B116,IF(C116=$F$11,F116+G116,ROUND($I$17/VLOOKUP("Totales",$D$18:$K$117,8,FALSE),2)),""))</f>
        <v/>
      </c>
      <c r="I116" s="17" t="str">
        <f t="shared" si="5"/>
        <v/>
      </c>
      <c r="J116" s="17"/>
      <c r="K116" s="25" t="str">
        <f>IF(C115=$F$11,SUM($K$18:K115),IF(C116=B116,1/((1+$F$14)^SUM($E$18:E116)),""))</f>
        <v/>
      </c>
    </row>
    <row r="117" spans="2:11" x14ac:dyDescent="0.25">
      <c r="B117" s="18">
        <v>100</v>
      </c>
      <c r="C117" s="19" t="str">
        <f t="shared" si="6"/>
        <v/>
      </c>
      <c r="D117" s="20" t="str">
        <f t="shared" ref="D117" si="8">IF(C116=$F$11,"Totales",IF(B117&lt;=$F$11,DATE(IF(MONTH(D116)=12,YEAR(D116)+1,YEAR(D116)),IF(MONTH(D116)=12,1,MONTH(D116)+1),10),""))</f>
        <v/>
      </c>
      <c r="E117" s="23" t="str">
        <f t="shared" si="4"/>
        <v/>
      </c>
      <c r="F117" s="17" t="str">
        <f>IF(C116=$F$11,SUM($F$18:F116),IF(C117=B117,IF(C117=$F$11,I116,ROUND(H117-G117,2)),""))</f>
        <v/>
      </c>
      <c r="G117" s="17" t="str">
        <f>IF(C116=$F$11,SUM($G$18:G116),IF(C117=B117,ROUND(((($F$13+1)^((D117-D116)/360))-1)*I116,2),""))</f>
        <v/>
      </c>
      <c r="H117" s="17" t="str">
        <f>IF(C116=$F$11,SUM($H$18:H116),IF(C117=B117,IF(C117=$F$11,F117+G117,ROUND($I$17/VLOOKUP("Totales",$D$18:$K$117,8,FALSE),2)),""))</f>
        <v/>
      </c>
      <c r="I117" s="17" t="str">
        <f t="shared" si="5"/>
        <v/>
      </c>
      <c r="J117" s="17"/>
      <c r="K117" s="25" t="str">
        <f>IF(C116=$F$11,SUM($K$18:K116),IF(C117=B117,1/((1+$F$14)^SUM($E$18:E117)),""))</f>
        <v/>
      </c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  <row r="129" spans="2:2" x14ac:dyDescent="0.25">
      <c r="B129" s="18"/>
    </row>
  </sheetData>
  <sheetProtection algorithmName="SHA-512" hashValue="EQ7qBvAiYoGgsQkz4hZElECRq3gNBq3PTxH1FzLiKdmzKluvxt5Elee1mlcQYaREctn8ASOEZJHraFnHcuK6/Q==" saltValue="v2g8kG1NLWUk/+YNJ0o1dw==" spinCount="100000" sheet="1" selectLockedCells="1"/>
  <mergeCells count="12">
    <mergeCell ref="F14:I14"/>
    <mergeCell ref="C6:F6"/>
    <mergeCell ref="C7:F7"/>
    <mergeCell ref="C8:I8"/>
    <mergeCell ref="C9:I9"/>
    <mergeCell ref="F10:I10"/>
    <mergeCell ref="F11:I11"/>
    <mergeCell ref="C2:I2"/>
    <mergeCell ref="N10:T13"/>
    <mergeCell ref="C3:I3"/>
    <mergeCell ref="F12:I12"/>
    <mergeCell ref="F13:I13"/>
  </mergeCells>
  <conditionalFormatting sqref="J16 L66:M68 C117:K117 F10:F12 C106:C116 E106:K116">
    <cfRule type="cellIs" dxfId="23" priority="4" stopIfTrue="1" operator="notEqual">
      <formula>""</formula>
    </cfRule>
  </conditionalFormatting>
  <conditionalFormatting sqref="J18:J65 K18:K105 C17:I18 C19:C105 E19:I65 E66:J105 D19:D116">
    <cfRule type="cellIs" dxfId="22" priority="3" stopIfTrue="1" operator="notEqual">
      <formula>""</formula>
    </cfRule>
  </conditionalFormatting>
  <dataValidations disablePrompts="1" count="1">
    <dataValidation type="list" allowBlank="1" showInputMessage="1" showErrorMessage="1" errorTitle="PÑPÑ" error="ZXCB" sqref="C8:I8" xr:uid="{00000000-0002-0000-0000-000000000000}">
      <formula1>$K$4:$K$5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28"/>
  <sheetViews>
    <sheetView showGridLines="0" topLeftCell="B1" zoomScale="85" zoomScaleNormal="85" zoomScaleSheetLayoutView="85" workbookViewId="0">
      <selection activeCell="F10" sqref="F10:I10"/>
    </sheetView>
  </sheetViews>
  <sheetFormatPr baseColWidth="10" defaultColWidth="11.453125" defaultRowHeight="12.5" x14ac:dyDescent="0.25"/>
  <cols>
    <col min="1" max="1" width="0" style="1" hidden="1" customWidth="1"/>
    <col min="2" max="2" width="3.1796875" style="1" bestFit="1" customWidth="1"/>
    <col min="3" max="3" width="9.7265625" style="1" customWidth="1"/>
    <col min="4" max="4" width="14.453125" style="1" customWidth="1"/>
    <col min="5" max="5" width="10.54296875" style="1" hidden="1" customWidth="1"/>
    <col min="6" max="9" width="18.726562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2:15" ht="36" customHeight="1" x14ac:dyDescent="0.25">
      <c r="C1" s="67" t="s">
        <v>22</v>
      </c>
      <c r="D1" s="67"/>
      <c r="E1" s="67"/>
      <c r="F1" s="67"/>
      <c r="G1" s="67"/>
      <c r="H1" s="67"/>
      <c r="I1" s="67"/>
    </row>
    <row r="2" spans="2:15" ht="15" customHeight="1" x14ac:dyDescent="0.25">
      <c r="C2" s="68"/>
      <c r="D2" s="68"/>
      <c r="E2" s="68"/>
      <c r="F2" s="68"/>
      <c r="G2" s="68"/>
      <c r="H2" s="68"/>
      <c r="I2" s="68"/>
    </row>
    <row r="3" spans="2:15" ht="13" x14ac:dyDescent="0.3">
      <c r="C3" s="3" t="s">
        <v>20</v>
      </c>
      <c r="K3" s="1" t="s">
        <v>0</v>
      </c>
    </row>
    <row r="4" spans="2:15" ht="10" customHeight="1" x14ac:dyDescent="0.25">
      <c r="K4" s="1" t="s">
        <v>1</v>
      </c>
    </row>
    <row r="5" spans="2:15" s="40" customFormat="1" ht="12.75" customHeight="1" x14ac:dyDescent="0.25">
      <c r="C5" s="54" t="str">
        <f>IF((D16+SUM(E17:E116))&gt;46387,"No cumple condición crediticia:","")</f>
        <v/>
      </c>
      <c r="D5" s="54"/>
      <c r="E5" s="54"/>
      <c r="F5" s="54"/>
    </row>
    <row r="6" spans="2:15" s="40" customFormat="1" ht="18" hidden="1" customHeight="1" x14ac:dyDescent="0.25">
      <c r="C6" s="55" t="str">
        <f>IF(C5="No cumple condición crediticia:","Reducir plazo del préstamo","")</f>
        <v/>
      </c>
      <c r="D6" s="55"/>
      <c r="E6" s="55"/>
      <c r="F6" s="55"/>
    </row>
    <row r="7" spans="2:15" ht="16" customHeight="1" x14ac:dyDescent="0.25">
      <c r="C7" s="56" t="s">
        <v>0</v>
      </c>
      <c r="D7" s="57"/>
      <c r="E7" s="57"/>
      <c r="F7" s="57"/>
      <c r="G7" s="57"/>
      <c r="H7" s="57"/>
      <c r="I7" s="58"/>
    </row>
    <row r="8" spans="2:15" s="4" customFormat="1" ht="12.75" customHeight="1" x14ac:dyDescent="0.25">
      <c r="C8" s="59" t="s">
        <v>2</v>
      </c>
      <c r="D8" s="60"/>
      <c r="E8" s="60"/>
      <c r="F8" s="60"/>
      <c r="G8" s="60"/>
      <c r="H8" s="60"/>
      <c r="I8" s="60"/>
      <c r="J8" s="1"/>
      <c r="N8" s="1"/>
      <c r="O8" s="1"/>
    </row>
    <row r="9" spans="2:15" ht="14.5" customHeight="1" x14ac:dyDescent="0.25">
      <c r="C9" s="5" t="s">
        <v>3</v>
      </c>
      <c r="D9" s="6"/>
      <c r="E9" s="7"/>
      <c r="F9" s="61">
        <v>3000000</v>
      </c>
      <c r="G9" s="62"/>
      <c r="H9" s="62"/>
      <c r="I9" s="63"/>
      <c r="J9" s="8"/>
      <c r="K9" s="4"/>
      <c r="L9" s="9" t="s">
        <v>4</v>
      </c>
      <c r="M9" s="10" t="s">
        <v>5</v>
      </c>
    </row>
    <row r="10" spans="2:15" x14ac:dyDescent="0.25">
      <c r="C10" s="5" t="s">
        <v>6</v>
      </c>
      <c r="D10" s="6"/>
      <c r="E10" s="7"/>
      <c r="F10" s="64">
        <v>44</v>
      </c>
      <c r="G10" s="65"/>
      <c r="H10" s="65"/>
      <c r="I10" s="66"/>
      <c r="J10" s="8"/>
      <c r="K10" s="11">
        <f>IF($C$7="GOBIERNOS LOCALES",M10,L10)</f>
        <v>8.2500000000000004E-2</v>
      </c>
      <c r="L10" s="12">
        <f>IF($F$9&gt;1000000,7.75%,8.75%)</f>
        <v>7.7499999999999999E-2</v>
      </c>
      <c r="M10" s="12">
        <f>IF($F$9&gt;1000000,8.25%,9.25%)</f>
        <v>8.2500000000000004E-2</v>
      </c>
    </row>
    <row r="11" spans="2:15" ht="15" customHeight="1" x14ac:dyDescent="0.25">
      <c r="C11" s="5" t="s">
        <v>7</v>
      </c>
      <c r="D11" s="6"/>
      <c r="E11" s="7"/>
      <c r="F11" s="45">
        <v>45037</v>
      </c>
      <c r="G11" s="46"/>
      <c r="H11" s="46"/>
      <c r="I11" s="47"/>
      <c r="J11" s="13"/>
      <c r="K11" s="11">
        <f>IF($C$7="GOBIERNOS LOCALES",M11,L11)</f>
        <v>9.2499999999999999E-2</v>
      </c>
      <c r="L11" s="12">
        <f>IF($F$9&gt;1000000,8.25%,9.25%)</f>
        <v>8.2500000000000004E-2</v>
      </c>
      <c r="M11" s="12">
        <f>IF($F$9&gt;1000000,9.25%,10.25%)</f>
        <v>9.2499999999999999E-2</v>
      </c>
    </row>
    <row r="12" spans="2:15" ht="14.15" customHeight="1" x14ac:dyDescent="0.25">
      <c r="C12" s="5" t="s">
        <v>8</v>
      </c>
      <c r="D12" s="6"/>
      <c r="E12" s="7"/>
      <c r="F12" s="48">
        <f>IF(AND(F10&gt;=1,F10&lt;=12),K10,IF(AND(F10&lt;=24,F10&gt;12),K11,IF(AND(F10&lt;=36,F10&gt;24),K12,IF(AND(F10&lt;=60,F10&gt;36),K13,"No aplicable"))))</f>
        <v>0.1275</v>
      </c>
      <c r="G12" s="49"/>
      <c r="H12" s="49"/>
      <c r="I12" s="50"/>
      <c r="J12" s="14"/>
      <c r="K12" s="11">
        <f>IF($C$7="GOBIERNOS LOCALES",M12,L12)</f>
        <v>0.10249999999999999</v>
      </c>
      <c r="L12" s="12">
        <f>IF($F$9&gt;1000000,9.25%,10.25%)</f>
        <v>9.2499999999999999E-2</v>
      </c>
      <c r="M12" s="12">
        <f>IF($F$9&gt;1000000,10.25%,11.25%)</f>
        <v>0.10249999999999999</v>
      </c>
    </row>
    <row r="13" spans="2:15" hidden="1" x14ac:dyDescent="0.25">
      <c r="C13" s="5" t="s">
        <v>9</v>
      </c>
      <c r="D13" s="6"/>
      <c r="E13" s="7"/>
      <c r="F13" s="51">
        <f>((F12+1)^(1/360))-1</f>
        <v>3.3339665430021093E-4</v>
      </c>
      <c r="G13" s="52"/>
      <c r="H13" s="52"/>
      <c r="I13" s="53"/>
      <c r="K13" s="11">
        <f>IF($C$7="GOBIERNOS LOCALES",M13,L13)</f>
        <v>0.1275</v>
      </c>
      <c r="L13" s="12">
        <f>IF($F$9&gt;1000000,11.75%,12.75%)</f>
        <v>0.11749999999999999</v>
      </c>
      <c r="M13" s="12">
        <f>IF($F$9&gt;1000000,12.75%,13.75%)</f>
        <v>0.1275</v>
      </c>
    </row>
    <row r="14" spans="2:15" ht="12.65" customHeight="1" x14ac:dyDescent="0.25">
      <c r="I14" s="15"/>
    </row>
    <row r="15" spans="2:15" x14ac:dyDescent="0.25">
      <c r="C15" s="16" t="s">
        <v>10</v>
      </c>
      <c r="D15" s="16" t="s">
        <v>11</v>
      </c>
      <c r="E15" s="16" t="s">
        <v>12</v>
      </c>
      <c r="F15" s="16" t="s">
        <v>13</v>
      </c>
      <c r="G15" s="16" t="s">
        <v>14</v>
      </c>
      <c r="H15" s="16" t="s">
        <v>15</v>
      </c>
      <c r="I15" s="16" t="s">
        <v>16</v>
      </c>
      <c r="J15" s="17"/>
      <c r="K15" s="16" t="s">
        <v>9</v>
      </c>
    </row>
    <row r="16" spans="2:15" x14ac:dyDescent="0.25">
      <c r="B16" s="18">
        <v>0</v>
      </c>
      <c r="C16" s="19">
        <v>0</v>
      </c>
      <c r="D16" s="20">
        <f>+F11</f>
        <v>45037</v>
      </c>
      <c r="E16" s="20"/>
      <c r="F16" s="21">
        <v>0</v>
      </c>
      <c r="G16" s="21">
        <v>0</v>
      </c>
      <c r="H16" s="21">
        <v>0</v>
      </c>
      <c r="I16" s="17">
        <f>+F9</f>
        <v>3000000</v>
      </c>
      <c r="K16" s="22"/>
    </row>
    <row r="17" spans="2:13" x14ac:dyDescent="0.25">
      <c r="B17" s="18">
        <v>1</v>
      </c>
      <c r="C17" s="19">
        <f>IF(B17&lt;=$F$10,B17,"")</f>
        <v>1</v>
      </c>
      <c r="D17" s="20">
        <f>IF(C16=$F$10,"Totales",IF(B17&lt;=$F$10,DATE(IF(MONTH(D16)=12,YEAR(D16)+1,YEAR(D16)),IF(MONTH(D16)=12,1,IF(DAY(D16)&lt;10,MONTH(D16),MONTH(D16)+1)),28),""))</f>
        <v>45074</v>
      </c>
      <c r="E17" s="23">
        <f t="shared" ref="E17:E62" si="0">IF(C17=B17,D17-D16,"")</f>
        <v>37</v>
      </c>
      <c r="F17" s="17">
        <f>IF(C16=$F$10,SUM($F16:F$17),IF(C17=B17,IF(C17=$F$10,I16,ROUND(H17-G17,2)),""))</f>
        <v>47949.2</v>
      </c>
      <c r="G17" s="17">
        <f>IF(C16=$F$10,SUM($G16:G$17),IF(C17=B17,ROUND(((($F$12+1)^((D17-D16)/360))-1)*I16,2),""))</f>
        <v>37229.980000000003</v>
      </c>
      <c r="H17" s="17">
        <f>IF(C16=$F$10,SUM($H16:H$17),IF(C17=B17,IF(C17=$F$10,F17+G17,ROUND($I$16/VLOOKUP("Totales",$D$17:$K$116,8,FALSE),2)),""))</f>
        <v>85179.18</v>
      </c>
      <c r="I17" s="17">
        <f>IF(C17=B17,ROUND(I16-F17,2),"")</f>
        <v>2952050.8</v>
      </c>
      <c r="J17" s="24"/>
      <c r="K17" s="25">
        <f>IF(C16=$F$10,SUM($K16:K$17),IF(C17=B17,1/((1+$F$13)^SUM($E$17:E17)),""))</f>
        <v>0.98774212703288089</v>
      </c>
      <c r="L17" s="26"/>
      <c r="M17" s="26"/>
    </row>
    <row r="18" spans="2:13" x14ac:dyDescent="0.25">
      <c r="B18" s="18">
        <v>2</v>
      </c>
      <c r="C18" s="19">
        <f t="shared" ref="C18:C81" si="1">IF(B18&lt;=$F$10,B18,"")</f>
        <v>2</v>
      </c>
      <c r="D18" s="20">
        <f t="shared" ref="D18:D81" si="2">IF(C17=$F$10,"Totales",IF(B18&lt;=$F$10,DATE(IF(MONTH(D17)=12,YEAR(D17)+1,YEAR(D17)),IF(MONTH(D17)=12,1,IF(DAY(D17)&lt;10,MONTH(D17),MONTH(D17)+1)),28),""))</f>
        <v>45105</v>
      </c>
      <c r="E18" s="23">
        <f t="shared" si="0"/>
        <v>31</v>
      </c>
      <c r="F18" s="17">
        <f>IF(C17=$F$10,SUM($F$17:F17),IF(C18=B18,IF(C18=$F$10,I17,ROUND(H18-G18,2)),""))</f>
        <v>54515.79</v>
      </c>
      <c r="G18" s="17">
        <f>IF(C17=$F$10,SUM($G$17:G17),IF(C18=B18,ROUND(((($F$12+1)^((D18-D17)/360))-1)*I17,2),""))</f>
        <v>30663.39</v>
      </c>
      <c r="H18" s="17">
        <f>IF(C17=$F$10,SUM($H17:H$17),IF(C18=B18,IF(C18=$F$10,F18+G18,ROUND($I$16/VLOOKUP("Totales",$D$17:$K$116,8,FALSE),2)),""))</f>
        <v>85179.18</v>
      </c>
      <c r="I18" s="17">
        <f t="shared" ref="I18:I65" si="3">IF(C18=B18,ROUND(I17-F18,2),"")</f>
        <v>2897535.01</v>
      </c>
      <c r="J18" s="24"/>
      <c r="K18" s="25">
        <f>IF(C17=$F$10,SUM($K$17:K17),IF(C18=B18,1/((1+$F$13)^SUM($E$17:E18)),""))</f>
        <v>0.97758777660183449</v>
      </c>
      <c r="L18" s="26"/>
    </row>
    <row r="19" spans="2:13" x14ac:dyDescent="0.25">
      <c r="B19" s="18">
        <v>3</v>
      </c>
      <c r="C19" s="19">
        <f t="shared" si="1"/>
        <v>3</v>
      </c>
      <c r="D19" s="20">
        <f t="shared" si="2"/>
        <v>45135</v>
      </c>
      <c r="E19" s="23">
        <f t="shared" si="0"/>
        <v>30</v>
      </c>
      <c r="F19" s="17">
        <f>IF(C18=$F$10,SUM($F$17:F18),IF(C19=B19,IF(C19=$F$10,I18,ROUND(H19-G19,2)),""))</f>
        <v>56057.79</v>
      </c>
      <c r="G19" s="17">
        <f>IF(C18=$F$10,SUM($G$17:G18),IF(C19=B19,ROUND(((($F$12+1)^((D19-D18)/360))-1)*I18,2),""))</f>
        <v>29121.39</v>
      </c>
      <c r="H19" s="17">
        <f>IF(C18=$F$10,SUM($H$17:H18),IF(C19=B19,IF(C19=$F$10,F19+G19,ROUND($I$16/VLOOKUP("Totales",$D$17:$K$116,8,FALSE),2)),""))</f>
        <v>85179.18</v>
      </c>
      <c r="I19" s="17">
        <f t="shared" si="3"/>
        <v>2841477.22</v>
      </c>
      <c r="J19" s="24"/>
      <c r="K19" s="25">
        <f>IF(C18=$F$10,SUM($K$17:K18),IF(C19=B19,1/((1+$F$13)^SUM($E$17:E19)),""))</f>
        <v>0.96786039047915151</v>
      </c>
      <c r="L19" s="26"/>
    </row>
    <row r="20" spans="2:13" x14ac:dyDescent="0.25">
      <c r="B20" s="18">
        <v>4</v>
      </c>
      <c r="C20" s="19">
        <f t="shared" si="1"/>
        <v>4</v>
      </c>
      <c r="D20" s="20">
        <f t="shared" si="2"/>
        <v>45166</v>
      </c>
      <c r="E20" s="23">
        <f t="shared" si="0"/>
        <v>31</v>
      </c>
      <c r="F20" s="17">
        <f>IF(C19=$F$10,SUM($F$17:F19),IF(C20=B20,IF(C20=$F$10,I19,ROUND(H20-G20,2)),""))</f>
        <v>55664.33</v>
      </c>
      <c r="G20" s="17">
        <f>IF(C19=$F$10,SUM($G$17:G19),IF(C20=B20,ROUND(((($F$12+1)^((D20-D19)/360))-1)*I19,2),""))</f>
        <v>29514.85</v>
      </c>
      <c r="H20" s="17">
        <f>IF(C19=$F$10,SUM($H$17:H19),IF(C20=B20,IF(C20=$F$10,F20+G20,ROUND($I$16/VLOOKUP("Totales",$D$17:$K$116,8,FALSE),2)),""))</f>
        <v>85179.18</v>
      </c>
      <c r="I20" s="17">
        <f t="shared" si="3"/>
        <v>2785812.89</v>
      </c>
      <c r="J20" s="24"/>
      <c r="K20" s="25">
        <f>IF(C19=$F$10,SUM($K$17:K19),IF(C20=B20,1/((1+$F$13)^SUM($E$17:E20)),""))</f>
        <v>0.95791043157360456</v>
      </c>
      <c r="L20" s="26"/>
    </row>
    <row r="21" spans="2:13" x14ac:dyDescent="0.25">
      <c r="B21" s="18">
        <v>5</v>
      </c>
      <c r="C21" s="19">
        <f t="shared" si="1"/>
        <v>5</v>
      </c>
      <c r="D21" s="20">
        <f t="shared" si="2"/>
        <v>45197</v>
      </c>
      <c r="E21" s="23">
        <f t="shared" si="0"/>
        <v>31</v>
      </c>
      <c r="F21" s="17">
        <f>IF(C20=$F$10,SUM($F$17:F20),IF(C21=B21,IF(C21=$F$10,I20,ROUND(H21-G21,2)),""))</f>
        <v>56242.52</v>
      </c>
      <c r="G21" s="17">
        <f>IF(C20=$F$10,SUM($G$17:G20),IF(C21=B21,ROUND(((($F$12+1)^((D21-D20)/360))-1)*I20,2),""))</f>
        <v>28936.66</v>
      </c>
      <c r="H21" s="17">
        <f>IF(C20=$F$10,SUM($H$17:H20),IF(C21=B21,IF(C21=$F$10,F21+G21,ROUND($I$16/VLOOKUP("Totales",$D$17:$K$116,8,FALSE),2)),""))</f>
        <v>85179.18</v>
      </c>
      <c r="I21" s="17">
        <f t="shared" si="3"/>
        <v>2729570.37</v>
      </c>
      <c r="J21" s="24"/>
      <c r="K21" s="25">
        <f>IF(C20=$F$10,SUM($K$17:K20),IF(C21=B21,1/((1+$F$13)^SUM($E$17:E21)),""))</f>
        <v>0.94806276188579597</v>
      </c>
      <c r="L21" s="26"/>
    </row>
    <row r="22" spans="2:13" x14ac:dyDescent="0.25">
      <c r="B22" s="18">
        <v>6</v>
      </c>
      <c r="C22" s="19">
        <f t="shared" si="1"/>
        <v>6</v>
      </c>
      <c r="D22" s="20">
        <f t="shared" si="2"/>
        <v>45227</v>
      </c>
      <c r="E22" s="23">
        <f t="shared" si="0"/>
        <v>30</v>
      </c>
      <c r="F22" s="17">
        <f>IF(C21=$F$10,SUM($F$17:F21),IF(C22=B22,IF(C22=$F$10,I21,ROUND(H22-G22,2)),""))</f>
        <v>57745.9</v>
      </c>
      <c r="G22" s="17">
        <f>IF(C21=$F$10,SUM($G$17:G21),IF(C22=B22,ROUND(((($F$12+1)^((D22-D21)/360))-1)*I21,2),""))</f>
        <v>27433.279999999999</v>
      </c>
      <c r="H22" s="17">
        <f>IF(C21=$F$10,SUM($H$17:H21),IF(C22=B22,IF(C22=$F$10,F22+G22,ROUND($I$16/VLOOKUP("Totales",$D$17:$K$116,8,FALSE),2)),""))</f>
        <v>85179.18</v>
      </c>
      <c r="I22" s="17">
        <f t="shared" si="3"/>
        <v>2671824.4700000002</v>
      </c>
      <c r="J22" s="24"/>
      <c r="K22" s="25">
        <f>IF(C21=$F$10,SUM($K$17:K21),IF(C22=B22,1/((1+$F$13)^SUM($E$17:E22)),""))</f>
        <v>0.93862916137019048</v>
      </c>
      <c r="L22" s="26"/>
    </row>
    <row r="23" spans="2:13" x14ac:dyDescent="0.25">
      <c r="B23" s="18">
        <v>7</v>
      </c>
      <c r="C23" s="19">
        <f t="shared" si="1"/>
        <v>7</v>
      </c>
      <c r="D23" s="20">
        <f t="shared" si="2"/>
        <v>45258</v>
      </c>
      <c r="E23" s="23">
        <f t="shared" si="0"/>
        <v>31</v>
      </c>
      <c r="F23" s="17">
        <f>IF(C22=$F$10,SUM($F$17:F22),IF(C23=B23,IF(C23=$F$10,I22,ROUND(H23-G23,2)),""))</f>
        <v>57426.54</v>
      </c>
      <c r="G23" s="17">
        <f>IF(C22=$F$10,SUM($G$17:G22),IF(C23=B23,ROUND(((($F$12+1)^((D23-D22)/360))-1)*I22,2),""))</f>
        <v>27752.639999999999</v>
      </c>
      <c r="H23" s="17">
        <f>IF(C22=$F$10,SUM($H$17:H22),IF(C23=B23,IF(C23=$F$10,F23+G23,ROUND($I$16/VLOOKUP("Totales",$D$17:$K$116,8,FALSE),2)),""))</f>
        <v>85179.18</v>
      </c>
      <c r="I23" s="17">
        <f t="shared" si="3"/>
        <v>2614397.9300000002</v>
      </c>
      <c r="J23" s="24"/>
      <c r="K23" s="25">
        <f>IF(C22=$F$10,SUM($K$17:K22),IF(C23=B23,1/((1+$F$13)^SUM($E$17:E23)),""))</f>
        <v>0.92897971019412007</v>
      </c>
      <c r="L23" s="26"/>
    </row>
    <row r="24" spans="2:13" x14ac:dyDescent="0.25">
      <c r="B24" s="18">
        <v>8</v>
      </c>
      <c r="C24" s="19">
        <f t="shared" si="1"/>
        <v>8</v>
      </c>
      <c r="D24" s="20">
        <f t="shared" si="2"/>
        <v>45288</v>
      </c>
      <c r="E24" s="23">
        <f t="shared" si="0"/>
        <v>30</v>
      </c>
      <c r="F24" s="17">
        <f>IF(C23=$F$10,SUM($F$17:F23),IF(C24=B24,IF(C24=$F$10,I23,ROUND(H24-G24,2)),""))</f>
        <v>58903.43</v>
      </c>
      <c r="G24" s="17">
        <f>IF(C23=$F$10,SUM($G$17:G23),IF(C24=B24,ROUND(((($F$12+1)^((D24-D23)/360))-1)*I23,2),""))</f>
        <v>26275.75</v>
      </c>
      <c r="H24" s="17">
        <f>IF(C23=$F$10,SUM($H$17:H23),IF(C24=B24,IF(C24=$F$10,F24+G24,ROUND($I$16/VLOOKUP("Totales",$D$17:$K$116,8,FALSE),2)),""))</f>
        <v>85179.18</v>
      </c>
      <c r="I24" s="17">
        <f t="shared" si="3"/>
        <v>2555494.5</v>
      </c>
      <c r="J24" s="24"/>
      <c r="K24" s="25">
        <f>IF(C23=$F$10,SUM($K$17:K23),IF(C24=B24,1/((1+$F$13)^SUM($E$17:E24)),""))</f>
        <v>0.91973599361185243</v>
      </c>
      <c r="L24" s="26"/>
    </row>
    <row r="25" spans="2:13" x14ac:dyDescent="0.25">
      <c r="B25" s="18">
        <v>9</v>
      </c>
      <c r="C25" s="19">
        <f t="shared" si="1"/>
        <v>9</v>
      </c>
      <c r="D25" s="20">
        <f t="shared" si="2"/>
        <v>45319</v>
      </c>
      <c r="E25" s="23">
        <f t="shared" si="0"/>
        <v>31</v>
      </c>
      <c r="F25" s="17">
        <f>IF(C24=$F$10,SUM($F$17:F24),IF(C25=B25,IF(C25=$F$10,I24,ROUND(H25-G25,2)),""))</f>
        <v>58634.879999999997</v>
      </c>
      <c r="G25" s="17">
        <f>IF(C24=$F$10,SUM($G$17:G24),IF(C25=B25,ROUND(((($F$12+1)^((D25-D24)/360))-1)*I24,2),""))</f>
        <v>26544.3</v>
      </c>
      <c r="H25" s="17">
        <f>IF(C24=$F$10,SUM($H$17:H24),IF(C25=B25,IF(C25=$F$10,F25+G25,ROUND($I$16/VLOOKUP("Totales",$D$17:$K$116,8,FALSE),2)),""))</f>
        <v>85179.18</v>
      </c>
      <c r="I25" s="17">
        <f t="shared" si="3"/>
        <v>2496859.62</v>
      </c>
      <c r="J25" s="24"/>
      <c r="K25" s="25">
        <f>IF(C24=$F$10,SUM($K$17:K24),IF(C25=B25,1/((1+$F$13)^SUM($E$17:E25)),""))</f>
        <v>0.91028077111239669</v>
      </c>
      <c r="L25" s="26"/>
    </row>
    <row r="26" spans="2:13" x14ac:dyDescent="0.25">
      <c r="B26" s="18">
        <v>10</v>
      </c>
      <c r="C26" s="19">
        <f t="shared" si="1"/>
        <v>10</v>
      </c>
      <c r="D26" s="20">
        <f t="shared" si="2"/>
        <v>45350</v>
      </c>
      <c r="E26" s="23">
        <f t="shared" si="0"/>
        <v>31</v>
      </c>
      <c r="F26" s="17">
        <f>IF(C25=$F$10,SUM($F$17:F25),IF(C26=B26,IF(C26=$F$10,I25,ROUND(H26-G26,2)),""))</f>
        <v>59243.93</v>
      </c>
      <c r="G26" s="17">
        <f>IF(C25=$F$10,SUM($G$17:G25),IF(C26=B26,ROUND(((($F$12+1)^((D26-D25)/360))-1)*I25,2),""))</f>
        <v>25935.25</v>
      </c>
      <c r="H26" s="17">
        <f>IF(C25=$F$10,SUM($H$17:H25),IF(C26=B26,IF(C26=$F$10,F26+G26,ROUND($I$16/VLOOKUP("Totales",$D$17:$K$116,8,FALSE),2)),""))</f>
        <v>85179.18</v>
      </c>
      <c r="I26" s="17">
        <f t="shared" si="3"/>
        <v>2437615.69</v>
      </c>
      <c r="J26" s="24"/>
      <c r="K26" s="25">
        <f>IF(C25=$F$10,SUM($K$17:K25),IF(C26=B26,1/((1+$F$13)^SUM($E$17:E26)),""))</f>
        <v>0.90092275175942593</v>
      </c>
      <c r="L26" s="26"/>
    </row>
    <row r="27" spans="2:13" x14ac:dyDescent="0.25">
      <c r="B27" s="18">
        <v>11</v>
      </c>
      <c r="C27" s="19">
        <f t="shared" si="1"/>
        <v>11</v>
      </c>
      <c r="D27" s="20">
        <f t="shared" si="2"/>
        <v>45379</v>
      </c>
      <c r="E27" s="23">
        <f t="shared" si="0"/>
        <v>29</v>
      </c>
      <c r="F27" s="17">
        <f>IF(C26=$F$10,SUM($F$17:F26),IF(C27=B27,IF(C27=$F$10,I26,ROUND(H27-G27,2)),""))</f>
        <v>61500.75</v>
      </c>
      <c r="G27" s="17">
        <f>IF(C26=$F$10,SUM($G$17:G26),IF(C27=B27,ROUND(((($F$12+1)^((D27-D26)/360))-1)*I26,2),""))</f>
        <v>23678.43</v>
      </c>
      <c r="H27" s="17">
        <f>IF(C26=$F$10,SUM($H$17:H26),IF(C27=B27,IF(C27=$F$10,F27+G27,ROUND($I$16/VLOOKUP("Totales",$D$17:$K$116,8,FALSE),2)),""))</f>
        <v>85179.18</v>
      </c>
      <c r="I27" s="17">
        <f t="shared" si="3"/>
        <v>2376114.94</v>
      </c>
      <c r="J27" s="24"/>
      <c r="K27" s="25">
        <f>IF(C26=$F$10,SUM($K$17:K26),IF(C27=B27,1/((1+$F$13)^SUM($E$17:E27)),""))</f>
        <v>0.89225558892595813</v>
      </c>
      <c r="L27" s="26"/>
    </row>
    <row r="28" spans="2:13" x14ac:dyDescent="0.25">
      <c r="B28" s="18">
        <v>12</v>
      </c>
      <c r="C28" s="19">
        <f t="shared" si="1"/>
        <v>12</v>
      </c>
      <c r="D28" s="20">
        <f t="shared" si="2"/>
        <v>45410</v>
      </c>
      <c r="E28" s="23">
        <f t="shared" si="0"/>
        <v>31</v>
      </c>
      <c r="F28" s="17">
        <f>IF(C27=$F$10,SUM($F$17:F27),IF(C28=B28,IF(C28=$F$10,I27,ROUND(H28-G28,2)),""))</f>
        <v>60498.12</v>
      </c>
      <c r="G28" s="17">
        <f>IF(C27=$F$10,SUM($G$17:G27),IF(C28=B28,ROUND(((($F$12+1)^((D28-D27)/360))-1)*I27,2),""))</f>
        <v>24681.06</v>
      </c>
      <c r="H28" s="17">
        <f>IF(C27=$F$10,SUM($H$17:H27),IF(C28=B28,IF(C28=$F$10,F28+G28,ROUND($I$16/VLOOKUP("Totales",$D$17:$K$116,8,FALSE),2)),""))</f>
        <v>85179.18</v>
      </c>
      <c r="I28" s="17">
        <f t="shared" si="3"/>
        <v>2315616.8199999998</v>
      </c>
      <c r="J28" s="24"/>
      <c r="K28" s="25">
        <f>IF(C27=$F$10,SUM($K$17:K27),IF(C28=B28,1/((1+$F$13)^SUM($E$17:E28)),""))</f>
        <v>0.8830828750403712</v>
      </c>
      <c r="L28" s="26"/>
    </row>
    <row r="29" spans="2:13" x14ac:dyDescent="0.25">
      <c r="B29" s="18">
        <v>13</v>
      </c>
      <c r="C29" s="19">
        <f t="shared" si="1"/>
        <v>13</v>
      </c>
      <c r="D29" s="20">
        <f t="shared" si="2"/>
        <v>45440</v>
      </c>
      <c r="E29" s="23">
        <f t="shared" si="0"/>
        <v>30</v>
      </c>
      <c r="F29" s="17">
        <f>IF(C28=$F$10,SUM($F$17:F28),IF(C29=B29,IF(C29=$F$10,I28,ROUND(H29-G29,2)),""))</f>
        <v>61906.3</v>
      </c>
      <c r="G29" s="17">
        <f>IF(C28=$F$10,SUM($G$17:G28),IF(C29=B29,ROUND(((($F$12+1)^((D29-D28)/360))-1)*I28,2),""))</f>
        <v>23272.880000000001</v>
      </c>
      <c r="H29" s="17">
        <f>IF(C28=$F$10,SUM($H$17:H28),IF(C29=B29,IF(C29=$F$10,F29+G29,ROUND($I$16/VLOOKUP("Totales",$D$17:$K$116,8,FALSE),2)),""))</f>
        <v>85179.18</v>
      </c>
      <c r="I29" s="17">
        <f t="shared" si="3"/>
        <v>2253710.52</v>
      </c>
      <c r="J29" s="24"/>
      <c r="K29" s="25">
        <f>IF(C28=$F$10,SUM($K$17:K28),IF(C29=B29,1/((1+$F$13)^SUM($E$17:E29)),""))</f>
        <v>0.87429585017217304</v>
      </c>
      <c r="L29" s="26"/>
    </row>
    <row r="30" spans="2:13" x14ac:dyDescent="0.25">
      <c r="B30" s="18">
        <v>14</v>
      </c>
      <c r="C30" s="19">
        <f t="shared" si="1"/>
        <v>14</v>
      </c>
      <c r="D30" s="20">
        <f t="shared" si="2"/>
        <v>45471</v>
      </c>
      <c r="E30" s="23">
        <f t="shared" si="0"/>
        <v>31</v>
      </c>
      <c r="F30" s="17">
        <f>IF(C29=$F$10,SUM($F$17:F29),IF(C30=B30,IF(C30=$F$10,I29,ROUND(H30-G30,2)),""))</f>
        <v>61769.55</v>
      </c>
      <c r="G30" s="17">
        <f>IF(C29=$F$10,SUM($G$17:G29),IF(C30=B30,ROUND(((($F$12+1)^((D30-D29)/360))-1)*I29,2),""))</f>
        <v>23409.63</v>
      </c>
      <c r="H30" s="17">
        <f>IF(C29=$F$10,SUM($H$17:H29),IF(C30=B30,IF(C30=$F$10,F30+G30,ROUND($I$16/VLOOKUP("Totales",$D$17:$K$116,8,FALSE),2)),""))</f>
        <v>85179.18</v>
      </c>
      <c r="I30" s="17">
        <f t="shared" si="3"/>
        <v>2191940.9700000002</v>
      </c>
      <c r="J30" s="24"/>
      <c r="K30" s="25">
        <f>IF(C29=$F$10,SUM($K$17:K29),IF(C30=B30,1/((1+$F$13)^SUM($E$17:E30)),""))</f>
        <v>0.86530776897153983</v>
      </c>
      <c r="L30" s="26"/>
    </row>
    <row r="31" spans="2:13" x14ac:dyDescent="0.25">
      <c r="B31" s="18">
        <v>15</v>
      </c>
      <c r="C31" s="19">
        <f t="shared" si="1"/>
        <v>15</v>
      </c>
      <c r="D31" s="20">
        <f t="shared" si="2"/>
        <v>45501</v>
      </c>
      <c r="E31" s="23">
        <f t="shared" si="0"/>
        <v>30</v>
      </c>
      <c r="F31" s="17">
        <f>IF(C30=$F$10,SUM($F$17:F30),IF(C31=B31,IF(C31=$F$10,I30,ROUND(H31-G31,2)),""))</f>
        <v>63149.29</v>
      </c>
      <c r="G31" s="17">
        <f>IF(C30=$F$10,SUM($G$17:G30),IF(C31=B31,ROUND(((($F$12+1)^((D31-D30)/360))-1)*I30,2),""))</f>
        <v>22029.89</v>
      </c>
      <c r="H31" s="17">
        <f>IF(C30=$F$10,SUM($H$17:H30),IF(C31=B31,IF(C31=$F$10,F31+G31,ROUND($I$16/VLOOKUP("Totales",$D$17:$K$116,8,FALSE),2)),""))</f>
        <v>85179.18</v>
      </c>
      <c r="I31" s="17">
        <f t="shared" si="3"/>
        <v>2128791.6800000002</v>
      </c>
      <c r="J31" s="17"/>
      <c r="K31" s="25">
        <f>IF(C30=$F$10,SUM($K$17:K30),IF(C31=B31,1/((1+$F$13)^SUM($E$17:E31)),""))</f>
        <v>0.8566976134589549</v>
      </c>
    </row>
    <row r="32" spans="2:13" x14ac:dyDescent="0.25">
      <c r="B32" s="18">
        <v>16</v>
      </c>
      <c r="C32" s="19">
        <f t="shared" si="1"/>
        <v>16</v>
      </c>
      <c r="D32" s="20">
        <f t="shared" si="2"/>
        <v>45532</v>
      </c>
      <c r="E32" s="23">
        <f t="shared" si="0"/>
        <v>31</v>
      </c>
      <c r="F32" s="17">
        <f>IF(C31=$F$10,SUM($F$17:F31),IF(C32=B32,IF(C32=$F$10,I31,ROUND(H32-G32,2)),""))</f>
        <v>63067.1</v>
      </c>
      <c r="G32" s="17">
        <f>IF(C31=$F$10,SUM($G$17:G31),IF(C32=B32,ROUND(((($F$12+1)^((D32-D31)/360))-1)*I31,2),""))</f>
        <v>22112.080000000002</v>
      </c>
      <c r="H32" s="17">
        <f>IF(C31=$F$10,SUM($H$17:H31),IF(C32=B32,IF(C32=$F$10,F32+G32,ROUND($I$16/VLOOKUP("Totales",$D$17:$K$116,8,FALSE),2)),""))</f>
        <v>85179.18</v>
      </c>
      <c r="I32" s="17">
        <f t="shared" si="3"/>
        <v>2065724.58</v>
      </c>
      <c r="J32" s="17"/>
      <c r="K32" s="25">
        <f>IF(C31=$F$10,SUM($K$17:K31),IF(C32=B32,1/((1+$F$13)^SUM($E$17:E32)),""))</f>
        <v>0.84789044857004292</v>
      </c>
    </row>
    <row r="33" spans="2:11" x14ac:dyDescent="0.25">
      <c r="B33" s="18">
        <v>17</v>
      </c>
      <c r="C33" s="19">
        <f t="shared" si="1"/>
        <v>17</v>
      </c>
      <c r="D33" s="20">
        <f t="shared" si="2"/>
        <v>45563</v>
      </c>
      <c r="E33" s="23">
        <f t="shared" si="0"/>
        <v>31</v>
      </c>
      <c r="F33" s="17">
        <f>IF(C32=$F$10,SUM($F$17:F32),IF(C33=B33,IF(C33=$F$10,I32,ROUND(H33-G33,2)),""))</f>
        <v>63722.19</v>
      </c>
      <c r="G33" s="17">
        <f>IF(C32=$F$10,SUM($G$17:G32),IF(C33=B33,ROUND(((($F$12+1)^((D33-D32)/360))-1)*I32,2),""))</f>
        <v>21456.99</v>
      </c>
      <c r="H33" s="17">
        <f>IF(C32=$F$10,SUM($H$17:H32),IF(C33=B33,IF(C33=$F$10,F33+G33,ROUND($I$16/VLOOKUP("Totales",$D$17:$K$116,8,FALSE),2)),""))</f>
        <v>85179.18</v>
      </c>
      <c r="I33" s="17">
        <f t="shared" si="3"/>
        <v>2002002.39</v>
      </c>
      <c r="J33" s="17"/>
      <c r="K33" s="25">
        <f>IF(C32=$F$10,SUM($K$17:K32),IF(C33=B33,1/((1+$F$13)^SUM($E$17:E33)),""))</f>
        <v>0.83917382455828737</v>
      </c>
    </row>
    <row r="34" spans="2:11" x14ac:dyDescent="0.25">
      <c r="B34" s="18">
        <v>18</v>
      </c>
      <c r="C34" s="19">
        <f t="shared" si="1"/>
        <v>18</v>
      </c>
      <c r="D34" s="20">
        <f t="shared" si="2"/>
        <v>45593</v>
      </c>
      <c r="E34" s="23">
        <f t="shared" si="0"/>
        <v>30</v>
      </c>
      <c r="F34" s="17">
        <f>IF(C33=$F$10,SUM($F$17:F33),IF(C34=B34,IF(C34=$F$10,I33,ROUND(H34-G34,2)),""))</f>
        <v>65058.25</v>
      </c>
      <c r="G34" s="17">
        <f>IF(C33=$F$10,SUM($G$17:G33),IF(C34=B34,ROUND(((($F$12+1)^((D34-D33)/360))-1)*I33,2),""))</f>
        <v>20120.93</v>
      </c>
      <c r="H34" s="17">
        <f>IF(C33=$F$10,SUM($H$17:H33),IF(C34=B34,IF(C34=$F$10,F34+G34,ROUND($I$16/VLOOKUP("Totales",$D$17:$K$116,8,FALSE),2)),""))</f>
        <v>85179.18</v>
      </c>
      <c r="I34" s="17">
        <f t="shared" si="3"/>
        <v>1936944.14</v>
      </c>
      <c r="J34" s="17"/>
      <c r="K34" s="25">
        <f>IF(C33=$F$10,SUM($K$17:K33),IF(C34=B34,1/((1+$F$13)^SUM($E$17:E34)),""))</f>
        <v>0.83082371215825079</v>
      </c>
    </row>
    <row r="35" spans="2:11" x14ac:dyDescent="0.25">
      <c r="B35" s="18">
        <v>19</v>
      </c>
      <c r="C35" s="19">
        <f t="shared" si="1"/>
        <v>19</v>
      </c>
      <c r="D35" s="20">
        <f t="shared" si="2"/>
        <v>45624</v>
      </c>
      <c r="E35" s="23">
        <f t="shared" si="0"/>
        <v>31</v>
      </c>
      <c r="F35" s="17">
        <f>IF(C34=$F$10,SUM($F$17:F34),IF(C35=B35,IF(C35=$F$10,I34,ROUND(H35-G35,2)),""))</f>
        <v>65059.85</v>
      </c>
      <c r="G35" s="17">
        <f>IF(C34=$F$10,SUM($G$17:G34),IF(C35=B35,ROUND(((($F$12+1)^((D35-D34)/360))-1)*I34,2),""))</f>
        <v>20119.330000000002</v>
      </c>
      <c r="H35" s="17">
        <f>IF(C34=$F$10,SUM($H$17:H34),IF(C35=B35,IF(C35=$F$10,F35+G35,ROUND($I$16/VLOOKUP("Totales",$D$17:$K$116,8,FALSE),2)),""))</f>
        <v>85179.18</v>
      </c>
      <c r="I35" s="17">
        <f t="shared" si="3"/>
        <v>1871884.29</v>
      </c>
      <c r="J35" s="17"/>
      <c r="K35" s="25">
        <f>IF(C34=$F$10,SUM($K$17:K34),IF(C35=B35,1/((1+$F$13)^SUM($E$17:E35)),""))</f>
        <v>0.82228254044066895</v>
      </c>
    </row>
    <row r="36" spans="2:11" x14ac:dyDescent="0.25">
      <c r="B36" s="18">
        <v>20</v>
      </c>
      <c r="C36" s="19">
        <f t="shared" si="1"/>
        <v>20</v>
      </c>
      <c r="D36" s="20">
        <f t="shared" si="2"/>
        <v>45654</v>
      </c>
      <c r="E36" s="23">
        <f t="shared" si="0"/>
        <v>30</v>
      </c>
      <c r="F36" s="17">
        <f>IF(C35=$F$10,SUM($F$17:F35),IF(C36=B36,IF(C36=$F$10,I35,ROUND(H36-G36,2)),""))</f>
        <v>66365.990000000005</v>
      </c>
      <c r="G36" s="17">
        <f>IF(C35=$F$10,SUM($G$17:G35),IF(C36=B36,ROUND(((($F$12+1)^((D36-D35)/360))-1)*I35,2),""))</f>
        <v>18813.189999999999</v>
      </c>
      <c r="H36" s="17">
        <f>IF(C35=$F$10,SUM($H$17:H35),IF(C36=B36,IF(C36=$F$10,F36+G36,ROUND($I$16/VLOOKUP("Totales",$D$17:$K$116,8,FALSE),2)),""))</f>
        <v>85179.18</v>
      </c>
      <c r="I36" s="17">
        <f t="shared" si="3"/>
        <v>1805518.3</v>
      </c>
      <c r="J36" s="17"/>
      <c r="K36" s="25">
        <f>IF(C35=$F$10,SUM($K$17:K35),IF(C36=B36,1/((1+$F$13)^SUM($E$17:E36)),""))</f>
        <v>0.81410050301727643</v>
      </c>
    </row>
    <row r="37" spans="2:11" x14ac:dyDescent="0.25">
      <c r="B37" s="18">
        <v>21</v>
      </c>
      <c r="C37" s="19">
        <f t="shared" si="1"/>
        <v>21</v>
      </c>
      <c r="D37" s="20">
        <f t="shared" si="2"/>
        <v>45685</v>
      </c>
      <c r="E37" s="23">
        <f t="shared" si="0"/>
        <v>31</v>
      </c>
      <c r="F37" s="17">
        <f>IF(C36=$F$10,SUM($F$17:F36),IF(C37=B37,IF(C37=$F$10,I36,ROUND(H37-G37,2)),""))</f>
        <v>66424.990000000005</v>
      </c>
      <c r="G37" s="17">
        <f>IF(C36=$F$10,SUM($G$17:G36),IF(C37=B37,ROUND(((($F$12+1)^((D37-D36)/360))-1)*I36,2),""))</f>
        <v>18754.189999999999</v>
      </c>
      <c r="H37" s="17">
        <f>IF(C36=$F$10,SUM($H$17:H36),IF(C37=B37,IF(C37=$F$10,F37+G37,ROUND($I$16/VLOOKUP("Totales",$D$17:$K$116,8,FALSE),2)),""))</f>
        <v>85179.18</v>
      </c>
      <c r="I37" s="17">
        <f t="shared" si="3"/>
        <v>1739093.31</v>
      </c>
      <c r="J37" s="17"/>
      <c r="K37" s="25">
        <f>IF(C36=$F$10,SUM($K$17:K36),IF(C37=B37,1/((1+$F$13)^SUM($E$17:E37)),""))</f>
        <v>0.80573125200784412</v>
      </c>
    </row>
    <row r="38" spans="2:11" x14ac:dyDescent="0.25">
      <c r="B38" s="18">
        <v>22</v>
      </c>
      <c r="C38" s="19">
        <f t="shared" si="1"/>
        <v>22</v>
      </c>
      <c r="D38" s="20">
        <f t="shared" si="2"/>
        <v>45716</v>
      </c>
      <c r="E38" s="23">
        <f t="shared" si="0"/>
        <v>31</v>
      </c>
      <c r="F38" s="17">
        <f>IF(C37=$F$10,SUM($F$17:F37),IF(C38=B38,IF(C38=$F$10,I37,ROUND(H38-G38,2)),""))</f>
        <v>67114.960000000006</v>
      </c>
      <c r="G38" s="17">
        <f>IF(C37=$F$10,SUM($G$17:G37),IF(C38=B38,ROUND(((($F$12+1)^((D38-D37)/360))-1)*I37,2),""))</f>
        <v>18064.22</v>
      </c>
      <c r="H38" s="17">
        <f>IF(C37=$F$10,SUM($H$17:H37),IF(C38=B38,IF(C38=$F$10,F38+G38,ROUND($I$16/VLOOKUP("Totales",$D$17:$K$116,8,FALSE),2)),""))</f>
        <v>85179.18</v>
      </c>
      <c r="I38" s="17">
        <f t="shared" si="3"/>
        <v>1671978.35</v>
      </c>
      <c r="J38" s="17"/>
      <c r="K38" s="25">
        <f>IF(C37=$F$10,SUM($K$17:K37),IF(C38=B38,1/((1+$F$13)^SUM($E$17:E38)),""))</f>
        <v>0.79744803996067715</v>
      </c>
    </row>
    <row r="39" spans="2:11" x14ac:dyDescent="0.25">
      <c r="B39" s="18">
        <v>23</v>
      </c>
      <c r="C39" s="19">
        <f t="shared" si="1"/>
        <v>23</v>
      </c>
      <c r="D39" s="20">
        <f t="shared" si="2"/>
        <v>45744</v>
      </c>
      <c r="E39" s="23">
        <f t="shared" si="0"/>
        <v>28</v>
      </c>
      <c r="F39" s="17">
        <f>IF(C38=$F$10,SUM($F$17:F38),IF(C39=B39,IF(C39=$F$10,I38,ROUND(H39-G39,2)),""))</f>
        <v>69500.63</v>
      </c>
      <c r="G39" s="17">
        <f>IF(C38=$F$10,SUM($G$17:G38),IF(C39=B39,ROUND(((($F$12+1)^((D39-D38)/360))-1)*I38,2),""))</f>
        <v>15678.55</v>
      </c>
      <c r="H39" s="17">
        <f>IF(C38=$F$10,SUM($H$17:H38),IF(C39=B39,IF(C39=$F$10,F39+G39,ROUND($I$16/VLOOKUP("Totales",$D$17:$K$116,8,FALSE),2)),""))</f>
        <v>85179.18</v>
      </c>
      <c r="I39" s="17">
        <f t="shared" si="3"/>
        <v>1602477.72</v>
      </c>
      <c r="J39" s="17"/>
      <c r="K39" s="25">
        <f>IF(C38=$F$10,SUM($K$17:K38),IF(C39=B39,1/((1+$F$13)^SUM($E$17:E39)),""))</f>
        <v>0.79003964548688221</v>
      </c>
    </row>
    <row r="40" spans="2:11" x14ac:dyDescent="0.25">
      <c r="B40" s="18">
        <v>24</v>
      </c>
      <c r="C40" s="19">
        <f t="shared" si="1"/>
        <v>24</v>
      </c>
      <c r="D40" s="20">
        <f t="shared" si="2"/>
        <v>45775</v>
      </c>
      <c r="E40" s="23">
        <f t="shared" si="0"/>
        <v>31</v>
      </c>
      <c r="F40" s="17">
        <f>IF(C39=$F$10,SUM($F$17:F39),IF(C40=B40,IF(C40=$F$10,I39,ROUND(H40-G40,2)),""))</f>
        <v>68534</v>
      </c>
      <c r="G40" s="17">
        <f>IF(C39=$F$10,SUM($G$17:G39),IF(C40=B40,ROUND(((($F$12+1)^((D40-D39)/360))-1)*I39,2),""))</f>
        <v>16645.18</v>
      </c>
      <c r="H40" s="17">
        <f>IF(C39=$F$10,SUM($H$17:H39),IF(C40=B40,IF(C40=$F$10,F40+G40,ROUND($I$16/VLOOKUP("Totales",$D$17:$K$116,8,FALSE),2)),""))</f>
        <v>85179.18</v>
      </c>
      <c r="I40" s="17">
        <f t="shared" si="3"/>
        <v>1533943.72</v>
      </c>
      <c r="J40" s="17"/>
      <c r="K40" s="25">
        <f>IF(C39=$F$10,SUM($K$17:K39),IF(C40=B40,1/((1+$F$13)^SUM($E$17:E40)),""))</f>
        <v>0.78191774889552002</v>
      </c>
    </row>
    <row r="41" spans="2:11" x14ac:dyDescent="0.25">
      <c r="B41" s="18">
        <v>25</v>
      </c>
      <c r="C41" s="19">
        <f t="shared" si="1"/>
        <v>25</v>
      </c>
      <c r="D41" s="20">
        <f t="shared" si="2"/>
        <v>45805</v>
      </c>
      <c r="E41" s="23">
        <f t="shared" si="0"/>
        <v>30</v>
      </c>
      <c r="F41" s="17">
        <f>IF(C40=$F$10,SUM($F$17:F40),IF(C41=B41,IF(C41=$F$10,I40,ROUND(H41-G41,2)),""))</f>
        <v>69762.429999999993</v>
      </c>
      <c r="G41" s="17">
        <f>IF(C40=$F$10,SUM($G$17:G40),IF(C41=B41,ROUND(((($F$12+1)^((D41-D40)/360))-1)*I40,2),""))</f>
        <v>15416.75</v>
      </c>
      <c r="H41" s="17">
        <f>IF(C40=$F$10,SUM($H$17:H40),IF(C41=B41,IF(C41=$F$10,F41+G41,ROUND($I$16/VLOOKUP("Totales",$D$17:$K$116,8,FALSE),2)),""))</f>
        <v>85179.18</v>
      </c>
      <c r="I41" s="17">
        <f t="shared" si="3"/>
        <v>1464181.29</v>
      </c>
      <c r="J41" s="17"/>
      <c r="K41" s="25">
        <f>IF(C40=$F$10,SUM($K$17:K40),IF(C41=B41,1/((1+$F$13)^SUM($E$17:E41)),""))</f>
        <v>0.77413735715808929</v>
      </c>
    </row>
    <row r="42" spans="2:11" x14ac:dyDescent="0.25">
      <c r="B42" s="18">
        <v>26</v>
      </c>
      <c r="C42" s="19">
        <f t="shared" si="1"/>
        <v>26</v>
      </c>
      <c r="D42" s="20">
        <f t="shared" si="2"/>
        <v>45836</v>
      </c>
      <c r="E42" s="23">
        <f t="shared" si="0"/>
        <v>31</v>
      </c>
      <c r="F42" s="17">
        <f>IF(C41=$F$10,SUM($F$17:F41),IF(C42=B42,IF(C42=$F$10,I41,ROUND(H42-G42,2)),""))</f>
        <v>69970.509999999995</v>
      </c>
      <c r="G42" s="17">
        <f>IF(C41=$F$10,SUM($G$17:G41),IF(C42=B42,ROUND(((($F$12+1)^((D42-D41)/360))-1)*I41,2),""))</f>
        <v>15208.67</v>
      </c>
      <c r="H42" s="17">
        <f>IF(C41=$F$10,SUM($H$17:H41),IF(C42=B42,IF(C42=$F$10,F42+G42,ROUND($I$16/VLOOKUP("Totales",$D$17:$K$116,8,FALSE),2)),""))</f>
        <v>85179.18</v>
      </c>
      <c r="I42" s="17">
        <f t="shared" si="3"/>
        <v>1394210.78</v>
      </c>
      <c r="J42" s="17"/>
      <c r="K42" s="25">
        <f>IF(C41=$F$10,SUM($K$17:K41),IF(C42=B42,1/((1+$F$13)^SUM($E$17:E42)),""))</f>
        <v>0.76617894190859415</v>
      </c>
    </row>
    <row r="43" spans="2:11" x14ac:dyDescent="0.25">
      <c r="B43" s="18">
        <v>27</v>
      </c>
      <c r="C43" s="19">
        <f t="shared" si="1"/>
        <v>27</v>
      </c>
      <c r="D43" s="20">
        <f t="shared" si="2"/>
        <v>45866</v>
      </c>
      <c r="E43" s="23">
        <f t="shared" si="0"/>
        <v>30</v>
      </c>
      <c r="F43" s="17">
        <f>IF(C42=$F$10,SUM($F$17:F42),IF(C43=B43,IF(C43=$F$10,I42,ROUND(H43-G43,2)),""))</f>
        <v>71166.8</v>
      </c>
      <c r="G43" s="17">
        <f>IF(C42=$F$10,SUM($G$17:G42),IF(C43=B43,ROUND(((($F$12+1)^((D43-D42)/360))-1)*I42,2),""))</f>
        <v>14012.38</v>
      </c>
      <c r="H43" s="17">
        <f>IF(C42=$F$10,SUM($H$17:H42),IF(C43=B43,IF(C43=$F$10,F43+G43,ROUND($I$16/VLOOKUP("Totales",$D$17:$K$116,8,FALSE),2)),""))</f>
        <v>85179.18</v>
      </c>
      <c r="I43" s="17">
        <f t="shared" si="3"/>
        <v>1323043.98</v>
      </c>
      <c r="J43" s="17"/>
      <c r="K43" s="25">
        <f>IF(C42=$F$10,SUM($K$17:K42),IF(C43=B43,1/((1+$F$13)^SUM($E$17:E43)),""))</f>
        <v>0.75855515754324487</v>
      </c>
    </row>
    <row r="44" spans="2:11" x14ac:dyDescent="0.25">
      <c r="B44" s="18">
        <v>28</v>
      </c>
      <c r="C44" s="19">
        <f t="shared" si="1"/>
        <v>28</v>
      </c>
      <c r="D44" s="20">
        <f t="shared" si="2"/>
        <v>45897</v>
      </c>
      <c r="E44" s="23">
        <f t="shared" si="0"/>
        <v>31</v>
      </c>
      <c r="F44" s="17">
        <f>IF(C43=$F$10,SUM($F$17:F43),IF(C44=B44,IF(C44=$F$10,I43,ROUND(H44-G44,2)),""))</f>
        <v>71436.52</v>
      </c>
      <c r="G44" s="17">
        <f>IF(C43=$F$10,SUM($G$17:G43),IF(C44=B44,ROUND(((($F$12+1)^((D44-D43)/360))-1)*I43,2),""))</f>
        <v>13742.66</v>
      </c>
      <c r="H44" s="17">
        <f>IF(C43=$F$10,SUM($H$17:H43),IF(C44=B44,IF(C44=$F$10,F44+G44,ROUND($I$16/VLOOKUP("Totales",$D$17:$K$116,8,FALSE),2)),""))</f>
        <v>85179.18</v>
      </c>
      <c r="I44" s="17">
        <f t="shared" si="3"/>
        <v>1251607.46</v>
      </c>
      <c r="J44" s="17"/>
      <c r="K44" s="25">
        <f>IF(C43=$F$10,SUM($K$17:K43),IF(C44=B44,1/((1+$F$13)^SUM($E$17:E44)),""))</f>
        <v>0.75075693300653312</v>
      </c>
    </row>
    <row r="45" spans="2:11" x14ac:dyDescent="0.25">
      <c r="B45" s="18">
        <v>29</v>
      </c>
      <c r="C45" s="19">
        <f t="shared" si="1"/>
        <v>29</v>
      </c>
      <c r="D45" s="20">
        <f t="shared" si="2"/>
        <v>45928</v>
      </c>
      <c r="E45" s="23">
        <f t="shared" si="0"/>
        <v>31</v>
      </c>
      <c r="F45" s="17">
        <f>IF(C44=$F$10,SUM($F$17:F44),IF(C45=B45,IF(C45=$F$10,I44,ROUND(H45-G45,2)),""))</f>
        <v>72178.55</v>
      </c>
      <c r="G45" s="17">
        <f>IF(C44=$F$10,SUM($G$17:G44),IF(C45=B45,ROUND(((($F$12+1)^((D45-D44)/360))-1)*I44,2),""))</f>
        <v>13000.63</v>
      </c>
      <c r="H45" s="17">
        <f>IF(C44=$F$10,SUM($H$17:H44),IF(C45=B45,IF(C45=$F$10,F45+G45,ROUND($I$16/VLOOKUP("Totales",$D$17:$K$116,8,FALSE),2)),""))</f>
        <v>85179.18</v>
      </c>
      <c r="I45" s="17">
        <f t="shared" si="3"/>
        <v>1179428.9099999999</v>
      </c>
      <c r="J45" s="17"/>
      <c r="K45" s="25">
        <f>IF(C44=$F$10,SUM($K$17:K44),IF(C45=B45,1/((1+$F$13)^SUM($E$17:E45)),""))</f>
        <v>0.74303887707103677</v>
      </c>
    </row>
    <row r="46" spans="2:11" x14ac:dyDescent="0.25">
      <c r="B46" s="18">
        <v>30</v>
      </c>
      <c r="C46" s="19">
        <f t="shared" si="1"/>
        <v>30</v>
      </c>
      <c r="D46" s="20">
        <f t="shared" si="2"/>
        <v>45958</v>
      </c>
      <c r="E46" s="23">
        <f t="shared" si="0"/>
        <v>30</v>
      </c>
      <c r="F46" s="17">
        <f>IF(C45=$F$10,SUM($F$17:F45),IF(C46=B46,IF(C46=$F$10,I45,ROUND(H46-G46,2)),""))</f>
        <v>73325.45</v>
      </c>
      <c r="G46" s="17">
        <f>IF(C45=$F$10,SUM($G$17:G45),IF(C46=B46,ROUND(((($F$12+1)^((D46-D45)/360))-1)*I45,2),""))</f>
        <v>11853.73</v>
      </c>
      <c r="H46" s="17">
        <f>IF(C45=$F$10,SUM($H$17:H45),IF(C46=B46,IF(C46=$F$10,F46+G46,ROUND($I$16/VLOOKUP("Totales",$D$17:$K$116,8,FALSE),2)),""))</f>
        <v>85179.18</v>
      </c>
      <c r="I46" s="17">
        <f t="shared" si="3"/>
        <v>1106103.46</v>
      </c>
      <c r="J46" s="17"/>
      <c r="K46" s="25">
        <f>IF(C45=$F$10,SUM($K$17:K45),IF(C46=B46,1/((1+$F$13)^SUM($E$17:E46)),""))</f>
        <v>0.73564534552897987</v>
      </c>
    </row>
    <row r="47" spans="2:11" x14ac:dyDescent="0.25">
      <c r="B47" s="18">
        <v>31</v>
      </c>
      <c r="C47" s="19">
        <f t="shared" si="1"/>
        <v>31</v>
      </c>
      <c r="D47" s="20">
        <f t="shared" si="2"/>
        <v>45989</v>
      </c>
      <c r="E47" s="23">
        <f t="shared" si="0"/>
        <v>31</v>
      </c>
      <c r="F47" s="17">
        <f>IF(C46=$F$10,SUM($F$17:F46),IF(C47=B47,IF(C47=$F$10,I46,ROUND(H47-G47,2)),""))</f>
        <v>73689.919999999998</v>
      </c>
      <c r="G47" s="17">
        <f>IF(C46=$F$10,SUM($G$17:G46),IF(C47=B47,ROUND(((($F$12+1)^((D47-D46)/360))-1)*I46,2),""))</f>
        <v>11489.26</v>
      </c>
      <c r="H47" s="17">
        <f>IF(C46=$F$10,SUM($H$17:H46),IF(C47=B47,IF(C47=$F$10,F47+G47,ROUND($I$16/VLOOKUP("Totales",$D$17:$K$116,8,FALSE),2)),""))</f>
        <v>85179.18</v>
      </c>
      <c r="I47" s="17">
        <f t="shared" si="3"/>
        <v>1032413.54</v>
      </c>
      <c r="J47" s="17"/>
      <c r="K47" s="25">
        <f>IF(C46=$F$10,SUM($K$17:K46),IF(C47=B47,1/((1+$F$13)^SUM($E$17:E47)),""))</f>
        <v>0.72808264224132235</v>
      </c>
    </row>
    <row r="48" spans="2:11" x14ac:dyDescent="0.25">
      <c r="B48" s="18">
        <v>32</v>
      </c>
      <c r="C48" s="19">
        <f t="shared" si="1"/>
        <v>32</v>
      </c>
      <c r="D48" s="20">
        <f t="shared" si="2"/>
        <v>46019</v>
      </c>
      <c r="E48" s="23">
        <f t="shared" si="0"/>
        <v>30</v>
      </c>
      <c r="F48" s="17">
        <f>IF(C47=$F$10,SUM($F$17:F47),IF(C48=B48,IF(C48=$F$10,I47,ROUND(H48-G48,2)),""))</f>
        <v>74803.009999999995</v>
      </c>
      <c r="G48" s="17">
        <f>IF(C47=$F$10,SUM($G$17:G47),IF(C48=B48,ROUND(((($F$12+1)^((D48-D47)/360))-1)*I47,2),""))</f>
        <v>10376.17</v>
      </c>
      <c r="H48" s="17">
        <f>IF(C47=$F$10,SUM($H$17:H47),IF(C48=B48,IF(C48=$F$10,F48+G48,ROUND($I$16/VLOOKUP("Totales",$D$17:$K$116,8,FALSE),2)),""))</f>
        <v>85179.18</v>
      </c>
      <c r="I48" s="17">
        <f t="shared" si="3"/>
        <v>957610.53</v>
      </c>
      <c r="J48" s="17"/>
      <c r="K48" s="25">
        <f>IF(C47=$F$10,SUM($K$17:K47),IF(C48=B48,1/((1+$F$13)^SUM($E$17:E48)),""))</f>
        <v>0.720837931167987</v>
      </c>
    </row>
    <row r="49" spans="2:11" x14ac:dyDescent="0.25">
      <c r="B49" s="18">
        <v>33</v>
      </c>
      <c r="C49" s="19">
        <f t="shared" si="1"/>
        <v>33</v>
      </c>
      <c r="D49" s="20">
        <f t="shared" si="2"/>
        <v>46050</v>
      </c>
      <c r="E49" s="23">
        <f t="shared" si="0"/>
        <v>31</v>
      </c>
      <c r="F49" s="17">
        <f>IF(C48=$F$10,SUM($F$17:F48),IF(C49=B49,IF(C49=$F$10,I48,ROUND(H49-G49,2)),""))</f>
        <v>75232.34</v>
      </c>
      <c r="G49" s="17">
        <f>IF(C48=$F$10,SUM($G$17:G48),IF(C49=B49,ROUND(((($F$12+1)^((D49-D48)/360))-1)*I48,2),""))</f>
        <v>9946.84</v>
      </c>
      <c r="H49" s="17">
        <f>IF(C48=$F$10,SUM($H$17:H48),IF(C49=B49,IF(C49=$F$10,F49+G49,ROUND($I$16/VLOOKUP("Totales",$D$17:$K$116,8,FALSE),2)),""))</f>
        <v>85179.18</v>
      </c>
      <c r="I49" s="17">
        <f t="shared" si="3"/>
        <v>882378.19</v>
      </c>
      <c r="J49" s="17"/>
      <c r="K49" s="25">
        <f>IF(C48=$F$10,SUM($K$17:K48),IF(C49=B49,1/((1+$F$13)^SUM($E$17:E49)),""))</f>
        <v>0.71342745351724834</v>
      </c>
    </row>
    <row r="50" spans="2:11" x14ac:dyDescent="0.25">
      <c r="B50" s="18">
        <v>34</v>
      </c>
      <c r="C50" s="19">
        <f t="shared" si="1"/>
        <v>34</v>
      </c>
      <c r="D50" s="20">
        <f t="shared" si="2"/>
        <v>46081</v>
      </c>
      <c r="E50" s="23">
        <f t="shared" si="0"/>
        <v>31</v>
      </c>
      <c r="F50" s="17">
        <f>IF(C49=$F$10,SUM($F$17:F49),IF(C50=B50,IF(C50=$F$10,I49,ROUND(H50-G50,2)),""))</f>
        <v>76013.789999999994</v>
      </c>
      <c r="G50" s="17">
        <f>IF(C49=$F$10,SUM($G$17:G49),IF(C50=B50,ROUND(((($F$12+1)^((D50-D49)/360))-1)*I49,2),""))</f>
        <v>9165.39</v>
      </c>
      <c r="H50" s="17">
        <f>IF(C49=$F$10,SUM($H$17:H49),IF(C50=B50,IF(C50=$F$10,F50+G50,ROUND($I$16/VLOOKUP("Totales",$D$17:$K$116,8,FALSE),2)),""))</f>
        <v>85179.18</v>
      </c>
      <c r="I50" s="17">
        <f t="shared" si="3"/>
        <v>806364.4</v>
      </c>
      <c r="J50" s="17"/>
      <c r="K50" s="25">
        <f>IF(C49=$F$10,SUM($K$17:K49),IF(C50=B50,1/((1+$F$13)^SUM($E$17:E50)),""))</f>
        <v>0.70609315828788022</v>
      </c>
    </row>
    <row r="51" spans="2:11" x14ac:dyDescent="0.25">
      <c r="B51" s="18">
        <v>35</v>
      </c>
      <c r="C51" s="19">
        <f t="shared" si="1"/>
        <v>35</v>
      </c>
      <c r="D51" s="20">
        <f t="shared" si="2"/>
        <v>46109</v>
      </c>
      <c r="E51" s="23">
        <f t="shared" si="0"/>
        <v>28</v>
      </c>
      <c r="F51" s="17">
        <f>IF(C50=$F$10,SUM($F$17:F50),IF(C51=B51,IF(C51=$F$10,I50,ROUND(H51-G51,2)),""))</f>
        <v>77617.7</v>
      </c>
      <c r="G51" s="17">
        <f>IF(C50=$F$10,SUM($G$17:G50),IF(C51=B51,ROUND(((($F$12+1)^((D51-D50)/360))-1)*I50,2),""))</f>
        <v>7561.48</v>
      </c>
      <c r="H51" s="17">
        <f>IF(C50=$F$10,SUM($H$17:H50),IF(C51=B51,IF(C51=$F$10,F51+G51,ROUND($I$16/VLOOKUP("Totales",$D$17:$K$116,8,FALSE),2)),""))</f>
        <v>85179.18</v>
      </c>
      <c r="I51" s="17">
        <f t="shared" si="3"/>
        <v>728746.7</v>
      </c>
      <c r="J51" s="17"/>
      <c r="K51" s="25">
        <f>IF(C50=$F$10,SUM($K$17:K50),IF(C51=B51,1/((1+$F$13)^SUM($E$17:E51)),""))</f>
        <v>0.69953346237076186</v>
      </c>
    </row>
    <row r="52" spans="2:11" x14ac:dyDescent="0.25">
      <c r="B52" s="18">
        <v>36</v>
      </c>
      <c r="C52" s="19">
        <f t="shared" si="1"/>
        <v>36</v>
      </c>
      <c r="D52" s="20">
        <f t="shared" si="2"/>
        <v>46140</v>
      </c>
      <c r="E52" s="23">
        <f t="shared" si="0"/>
        <v>31</v>
      </c>
      <c r="F52" s="17">
        <f>IF(C51=$F$10,SUM($F$17:F51),IF(C52=B52,IF(C52=$F$10,I51,ROUND(H52-G52,2)),""))</f>
        <v>77609.58</v>
      </c>
      <c r="G52" s="17">
        <f>IF(C51=$F$10,SUM($G$17:G51),IF(C52=B52,ROUND(((($F$12+1)^((D52-D51)/360))-1)*I51,2),""))</f>
        <v>7569.6</v>
      </c>
      <c r="H52" s="17">
        <f>IF(C51=$F$10,SUM($H$17:H51),IF(C52=B52,IF(C52=$F$10,F52+G52,ROUND($I$16/VLOOKUP("Totales",$D$17:$K$116,8,FALSE),2)),""))</f>
        <v>85179.18</v>
      </c>
      <c r="I52" s="17">
        <f t="shared" si="3"/>
        <v>651137.12</v>
      </c>
      <c r="J52" s="17"/>
      <c r="K52" s="25">
        <f>IF(C51=$F$10,SUM($K$17:K51),IF(C52=B52,1/((1+$F$13)^SUM($E$17:E52)),""))</f>
        <v>0.69234200245349176</v>
      </c>
    </row>
    <row r="53" spans="2:11" x14ac:dyDescent="0.25">
      <c r="B53" s="18">
        <v>37</v>
      </c>
      <c r="C53" s="19">
        <f t="shared" si="1"/>
        <v>37</v>
      </c>
      <c r="D53" s="20">
        <f t="shared" si="2"/>
        <v>46170</v>
      </c>
      <c r="E53" s="23">
        <f t="shared" si="0"/>
        <v>30</v>
      </c>
      <c r="F53" s="17">
        <f>IF(C52=$F$10,SUM($F$17:F52),IF(C53=B53,IF(C53=$F$10,I52,ROUND(H53-G53,2)),""))</f>
        <v>78634.990000000005</v>
      </c>
      <c r="G53" s="17">
        <f>IF(C52=$F$10,SUM($G$17:G52),IF(C53=B53,ROUND(((($F$12+1)^((D53-D52)/360))-1)*I52,2),""))</f>
        <v>6544.19</v>
      </c>
      <c r="H53" s="17">
        <f>IF(C52=$F$10,SUM($H$17:H52),IF(C53=B53,IF(C53=$F$10,F53+G53,ROUND($I$16/VLOOKUP("Totales",$D$17:$K$116,8,FALSE),2)),""))</f>
        <v>85179.18</v>
      </c>
      <c r="I53" s="17">
        <f t="shared" si="3"/>
        <v>572502.13</v>
      </c>
      <c r="J53" s="17"/>
      <c r="K53" s="25">
        <f>IF(C52=$F$10,SUM($K$17:K52),IF(C53=B53,1/((1+$F$13)^SUM($E$17:E53)),""))</f>
        <v>0.68545292492203269</v>
      </c>
    </row>
    <row r="54" spans="2:11" x14ac:dyDescent="0.25">
      <c r="B54" s="18">
        <v>38</v>
      </c>
      <c r="C54" s="19">
        <f t="shared" si="1"/>
        <v>38</v>
      </c>
      <c r="D54" s="20">
        <f t="shared" si="2"/>
        <v>46201</v>
      </c>
      <c r="E54" s="23">
        <f t="shared" si="0"/>
        <v>31</v>
      </c>
      <c r="F54" s="17">
        <f>IF(C53=$F$10,SUM($F$17:F53),IF(C54=B54,IF(C54=$F$10,I53,ROUND(H54-G54,2)),""))</f>
        <v>79232.509999999995</v>
      </c>
      <c r="G54" s="17">
        <f>IF(C53=$F$10,SUM($G$17:G53),IF(C54=B54,ROUND(((($F$12+1)^((D54-D53)/360))-1)*I53,2),""))</f>
        <v>5946.67</v>
      </c>
      <c r="H54" s="17">
        <f>IF(C53=$F$10,SUM($H$17:H53),IF(C54=B54,IF(C54=$F$10,F54+G54,ROUND($I$16/VLOOKUP("Totales",$D$17:$K$116,8,FALSE),2)),""))</f>
        <v>85179.18</v>
      </c>
      <c r="I54" s="17">
        <f t="shared" si="3"/>
        <v>493269.62</v>
      </c>
      <c r="J54" s="17"/>
      <c r="K54" s="25">
        <f>IF(C53=$F$10,SUM($K$17:K53),IF(C54=B54,1/((1+$F$13)^SUM($E$17:E54)),""))</f>
        <v>0.67840621808109602</v>
      </c>
    </row>
    <row r="55" spans="2:11" x14ac:dyDescent="0.25">
      <c r="B55" s="18">
        <v>39</v>
      </c>
      <c r="C55" s="19">
        <f t="shared" si="1"/>
        <v>39</v>
      </c>
      <c r="D55" s="20">
        <f t="shared" si="2"/>
        <v>46231</v>
      </c>
      <c r="E55" s="23">
        <f t="shared" si="0"/>
        <v>30</v>
      </c>
      <c r="F55" s="17">
        <f>IF(C54=$F$10,SUM($F$17:F54),IF(C55=B55,IF(C55=$F$10,I54,ROUND(H55-G55,2)),""))</f>
        <v>80221.62</v>
      </c>
      <c r="G55" s="17">
        <f>IF(C54=$F$10,SUM($G$17:G54),IF(C55=B55,ROUND(((($F$12+1)^((D55-D54)/360))-1)*I54,2),""))</f>
        <v>4957.5600000000004</v>
      </c>
      <c r="H55" s="17">
        <f>IF(C54=$F$10,SUM($H$17:H54),IF(C55=B55,IF(C55=$F$10,F55+G55,ROUND($I$16/VLOOKUP("Totales",$D$17:$K$116,8,FALSE),2)),""))</f>
        <v>85179.18</v>
      </c>
      <c r="I55" s="17">
        <f t="shared" si="3"/>
        <v>413048</v>
      </c>
      <c r="J55" s="17"/>
      <c r="K55" s="25">
        <f>IF(C54=$F$10,SUM($K$17:K54),IF(C55=B55,1/((1+$F$13)^SUM($E$17:E55)),""))</f>
        <v>0.67165580713156159</v>
      </c>
    </row>
    <row r="56" spans="2:11" x14ac:dyDescent="0.25">
      <c r="B56" s="18">
        <v>40</v>
      </c>
      <c r="C56" s="19">
        <f t="shared" si="1"/>
        <v>40</v>
      </c>
      <c r="D56" s="20">
        <f t="shared" si="2"/>
        <v>46262</v>
      </c>
      <c r="E56" s="23">
        <f t="shared" si="0"/>
        <v>31</v>
      </c>
      <c r="F56" s="17">
        <f>IF(C55=$F$10,SUM($F$17:F55),IF(C56=B56,IF(C56=$F$10,I55,ROUND(H56-G56,2)),""))</f>
        <v>80888.789999999994</v>
      </c>
      <c r="G56" s="17">
        <f>IF(C55=$F$10,SUM($G$17:G55),IF(C56=B56,ROUND(((($F$12+1)^((D56-D55)/360))-1)*I55,2),""))</f>
        <v>4290.3900000000003</v>
      </c>
      <c r="H56" s="17">
        <f>IF(C55=$F$10,SUM($H$17:H55),IF(C56=B56,IF(C56=$F$10,F56+G56,ROUND($I$16/VLOOKUP("Totales",$D$17:$K$116,8,FALSE),2)),""))</f>
        <v>85179.18</v>
      </c>
      <c r="I56" s="17">
        <f t="shared" si="3"/>
        <v>332159.21000000002</v>
      </c>
      <c r="J56" s="17"/>
      <c r="K56" s="25">
        <f>IF(C55=$F$10,SUM($K$17:K55),IF(C56=B56,1/((1+$F$13)^SUM($E$17:E56)),""))</f>
        <v>0.6647509397091822</v>
      </c>
    </row>
    <row r="57" spans="2:11" x14ac:dyDescent="0.25">
      <c r="B57" s="18">
        <v>41</v>
      </c>
      <c r="C57" s="19">
        <f t="shared" si="1"/>
        <v>41</v>
      </c>
      <c r="D57" s="20">
        <f t="shared" si="2"/>
        <v>46293</v>
      </c>
      <c r="E57" s="23">
        <f t="shared" si="0"/>
        <v>31</v>
      </c>
      <c r="F57" s="17">
        <f>IF(C56=$F$10,SUM($F$17:F56),IF(C57=B57,IF(C57=$F$10,I56,ROUND(H57-G57,2)),""))</f>
        <v>81728.990000000005</v>
      </c>
      <c r="G57" s="17">
        <f>IF(C56=$F$10,SUM($G$17:G56),IF(C57=B57,ROUND(((($F$12+1)^((D57-D56)/360))-1)*I56,2),""))</f>
        <v>3450.19</v>
      </c>
      <c r="H57" s="17">
        <f>IF(C56=$F$10,SUM($H$17:H56),IF(C57=B57,IF(C57=$F$10,F57+G57,ROUND($I$16/VLOOKUP("Totales",$D$17:$K$116,8,FALSE),2)),""))</f>
        <v>85179.18</v>
      </c>
      <c r="I57" s="17">
        <f t="shared" si="3"/>
        <v>250430.22</v>
      </c>
      <c r="J57" s="17"/>
      <c r="K57" s="25">
        <f>IF(C56=$F$10,SUM($K$17:K56),IF(C57=B57,1/((1+$F$13)^SUM($E$17:E57)),""))</f>
        <v>0.6579170568500482</v>
      </c>
    </row>
    <row r="58" spans="2:11" x14ac:dyDescent="0.25">
      <c r="B58" s="18">
        <v>42</v>
      </c>
      <c r="C58" s="19">
        <f t="shared" si="1"/>
        <v>42</v>
      </c>
      <c r="D58" s="20">
        <f t="shared" si="2"/>
        <v>46323</v>
      </c>
      <c r="E58" s="23">
        <f t="shared" si="0"/>
        <v>30</v>
      </c>
      <c r="F58" s="17">
        <f>IF(C57=$F$10,SUM($F$17:F57),IF(C58=B58,IF(C58=$F$10,I57,ROUND(H58-G58,2)),""))</f>
        <v>82662.259999999995</v>
      </c>
      <c r="G58" s="17">
        <f>IF(C57=$F$10,SUM($G$17:G57),IF(C58=B58,ROUND(((($F$12+1)^((D58-D57)/360))-1)*I57,2),""))</f>
        <v>2516.92</v>
      </c>
      <c r="H58" s="17">
        <f>IF(C57=$F$10,SUM($H$17:H57),IF(C58=B58,IF(C58=$F$10,F58+G58,ROUND($I$16/VLOOKUP("Totales",$D$17:$K$116,8,FALSE),2)),""))</f>
        <v>85179.18</v>
      </c>
      <c r="I58" s="17">
        <f t="shared" si="3"/>
        <v>167767.96</v>
      </c>
      <c r="J58" s="17"/>
      <c r="K58" s="25">
        <f>IF(C57=$F$10,SUM($K$17:K57),IF(C58=B58,1/((1+$F$13)^SUM($E$17:E58)),""))</f>
        <v>0.65137052118148064</v>
      </c>
    </row>
    <row r="59" spans="2:11" x14ac:dyDescent="0.25">
      <c r="B59" s="18">
        <v>43</v>
      </c>
      <c r="C59" s="19">
        <f t="shared" si="1"/>
        <v>43</v>
      </c>
      <c r="D59" s="20">
        <f t="shared" si="2"/>
        <v>46354</v>
      </c>
      <c r="E59" s="23">
        <f t="shared" si="0"/>
        <v>31</v>
      </c>
      <c r="F59" s="17">
        <f>IF(C58=$F$10,SUM($F$17:F58),IF(C59=B59,IF(C59=$F$10,I58,ROUND(H59-G59,2)),""))</f>
        <v>83436.55</v>
      </c>
      <c r="G59" s="17">
        <f>IF(C58=$F$10,SUM($G$17:G58),IF(C59=B59,ROUND(((($F$12+1)^((D59-D58)/360))-1)*I58,2),""))</f>
        <v>1742.63</v>
      </c>
      <c r="H59" s="17">
        <f>IF(C58=$F$10,SUM($H$17:H58),IF(C59=B59,IF(C59=$F$10,F59+G59,ROUND($I$16/VLOOKUP("Totales",$D$17:$K$116,8,FALSE),2)),""))</f>
        <v>85179.18</v>
      </c>
      <c r="I59" s="17">
        <f t="shared" si="3"/>
        <v>84331.41</v>
      </c>
      <c r="J59" s="17"/>
      <c r="K59" s="25">
        <f>IF(C58=$F$10,SUM($K$17:K58),IF(C59=B59,1/((1+$F$13)^SUM($E$17:E59)),""))</f>
        <v>0.64467419392003356</v>
      </c>
    </row>
    <row r="60" spans="2:11" x14ac:dyDescent="0.25">
      <c r="B60" s="18">
        <v>44</v>
      </c>
      <c r="C60" s="19">
        <f t="shared" si="1"/>
        <v>44</v>
      </c>
      <c r="D60" s="20">
        <f t="shared" si="2"/>
        <v>46384</v>
      </c>
      <c r="E60" s="23">
        <f t="shared" si="0"/>
        <v>30</v>
      </c>
      <c r="F60" s="17">
        <f>IF(C59=$F$10,SUM($F$17:F59),IF(C60=B60,IF(C60=$F$10,I59,ROUND(H60-G60,2)),""))</f>
        <v>84331.41</v>
      </c>
      <c r="G60" s="17">
        <f>IF(C59=$F$10,SUM($G$17:G59),IF(C60=B60,ROUND(((($F$12+1)^((D60-D59)/360))-1)*I59,2),""))</f>
        <v>847.56</v>
      </c>
      <c r="H60" s="17">
        <f>IF(C59=$F$10,SUM($H$17:H59),IF(C60=B60,IF(C60=$F$10,F60+G60,ROUND($I$16/VLOOKUP("Totales",$D$17:$K$116,8,FALSE),2)),""))</f>
        <v>85178.97</v>
      </c>
      <c r="I60" s="17">
        <f t="shared" si="3"/>
        <v>0</v>
      </c>
      <c r="J60" s="17"/>
      <c r="K60" s="25">
        <f>IF(C59=$F$10,SUM($K$17:K59),IF(C60=B60,1/((1+$F$13)^SUM($E$17:E60)),""))</f>
        <v>0.63825942999020202</v>
      </c>
    </row>
    <row r="61" spans="2:11" x14ac:dyDescent="0.25">
      <c r="B61" s="18">
        <v>45</v>
      </c>
      <c r="C61" s="19" t="str">
        <f t="shared" si="1"/>
        <v/>
      </c>
      <c r="D61" s="20" t="str">
        <f t="shared" si="2"/>
        <v>Totales</v>
      </c>
      <c r="E61" s="23" t="str">
        <f t="shared" si="0"/>
        <v/>
      </c>
      <c r="F61" s="17">
        <f>IF(C60=$F$10,SUM($F$17:F60),IF(C61=B61,IF(C61=$F$10,I60,ROUND(H61-G61,2)),""))</f>
        <v>3000000.0000000005</v>
      </c>
      <c r="G61" s="17">
        <f>IF(C60=$F$10,SUM($G$17:G60),IF(C61=B61,ROUND(((($F$12+1)^((D61-D60)/360))-1)*I60,2),""))</f>
        <v>747883.7100000002</v>
      </c>
      <c r="H61" s="17">
        <f>IF(C60=$F$10,SUM($H$17:H60),IF(C61=B61,IF(C61=$F$10,F61+G61,ROUND($I$16/VLOOKUP("Totales",$D$17:$K$116,8,FALSE),2)),""))</f>
        <v>3747883.7100000023</v>
      </c>
      <c r="I61" s="17" t="str">
        <f t="shared" si="3"/>
        <v/>
      </c>
      <c r="J61" s="27"/>
      <c r="K61" s="25">
        <f>IF(C60=$F$10,SUM($K$17:K60),IF(C61=B61,1/((1+$F$13)^SUM($E$17:E61)),""))</f>
        <v>35.219875641326503</v>
      </c>
    </row>
    <row r="62" spans="2:11" x14ac:dyDescent="0.25">
      <c r="B62" s="18">
        <v>46</v>
      </c>
      <c r="C62" s="19" t="str">
        <f t="shared" si="1"/>
        <v/>
      </c>
      <c r="D62" s="20" t="str">
        <f t="shared" si="2"/>
        <v/>
      </c>
      <c r="E62" s="23" t="str">
        <f t="shared" si="0"/>
        <v/>
      </c>
      <c r="F62" s="17" t="str">
        <f>IF(C61=$F$10,SUM($F$17:F61),IF(C62=B62,IF(C62=$F$10,I61,ROUND(H62-G62,2)),""))</f>
        <v/>
      </c>
      <c r="G62" s="17" t="str">
        <f>IF(C61=$F$10,SUM($G$17:G61),IF(C62=B62,ROUND(((($F$12+1)^((D62-D61)/360))-1)*I61,2),""))</f>
        <v/>
      </c>
      <c r="H62" s="17" t="str">
        <f>IF(C61=$F$10,SUM($H$17:H61),IF(C62=B62,IF(C62=$F$10,F62+G62,ROUND($I$16/VLOOKUP("Totales",$D$17:$K$116,8,FALSE),2)),""))</f>
        <v/>
      </c>
      <c r="I62" s="17" t="str">
        <f t="shared" si="3"/>
        <v/>
      </c>
      <c r="J62" s="27"/>
      <c r="K62" s="25" t="str">
        <f>IF(C61=$F$10,SUM($K$17:K61),IF(C62=B62,1/((1+$F$13)^SUM($E$17:E62)),""))</f>
        <v/>
      </c>
    </row>
    <row r="63" spans="2:11" x14ac:dyDescent="0.25">
      <c r="B63" s="18">
        <v>47</v>
      </c>
      <c r="C63" s="19" t="str">
        <f t="shared" si="1"/>
        <v/>
      </c>
      <c r="D63" s="20" t="str">
        <f t="shared" si="2"/>
        <v/>
      </c>
      <c r="E63" s="23" t="str">
        <f>IF(C63=B63,D63-D62,"")</f>
        <v/>
      </c>
      <c r="F63" s="17" t="str">
        <f>IF(C62=$F$10,SUM($F$17:F62),IF(C63=B63,IF(C63=$F$10,I62,ROUND(H63-G63,2)),""))</f>
        <v/>
      </c>
      <c r="G63" s="17" t="str">
        <f>IF(C62=$F$10,SUM($G$17:G62),IF(C63=B63,ROUND(((($F$12+1)^((D63-D62)/360))-1)*I62,2),""))</f>
        <v/>
      </c>
      <c r="H63" s="17" t="str">
        <f>IF(C62=$F$10,SUM($H$17:H62),IF(C63=B63,IF(C63=$F$10,F63+G63,ROUND($I$16/VLOOKUP("Totales",$D$17:$K$116,8,FALSE),2)),""))</f>
        <v/>
      </c>
      <c r="I63" s="17" t="str">
        <f t="shared" si="3"/>
        <v/>
      </c>
      <c r="J63" s="28"/>
      <c r="K63" s="25" t="str">
        <f>IF(C62=$F$10,SUM($K$17:K62),IF(C63=B63,1/((1+$F$13)^SUM($E$17:E63)),""))</f>
        <v/>
      </c>
    </row>
    <row r="64" spans="2:11" x14ac:dyDescent="0.25">
      <c r="B64" s="18">
        <v>48</v>
      </c>
      <c r="C64" s="19" t="str">
        <f>IF(B64&lt;=$F$10,B64,"")</f>
        <v/>
      </c>
      <c r="D64" s="20" t="str">
        <f t="shared" si="2"/>
        <v/>
      </c>
      <c r="E64" s="23" t="str">
        <f>IF(C64=B64,D64-D63,"")</f>
        <v/>
      </c>
      <c r="F64" s="17" t="str">
        <f>IF(C63=$F$10,SUM($F$17:F63),IF(C64=B64,IF(C64=$F$10,I63,ROUND(H64-G64,2)),""))</f>
        <v/>
      </c>
      <c r="G64" s="17" t="str">
        <f>IF(C63=$F$10,SUM($G$17:G63),IF(C64=B64,ROUND(((($F$12+1)^((D64-D63)/360))-1)*I63,2),""))</f>
        <v/>
      </c>
      <c r="H64" s="17" t="str">
        <f>IF(C63=$F$10,SUM($H$17:H63),IF(C64=B64,IF(C64=$F$10,F64+G64,ROUND($I$16/VLOOKUP("Totales",$D$17:$K$116,8,FALSE),2)),""))</f>
        <v/>
      </c>
      <c r="I64" s="17" t="str">
        <f t="shared" si="3"/>
        <v/>
      </c>
      <c r="J64" s="17"/>
      <c r="K64" s="25" t="str">
        <f>IF(C63=$F$10,SUM($K$17:K63),IF(C64=B64,1/((1+$F$13)^SUM($E$17:E64)),""))</f>
        <v/>
      </c>
    </row>
    <row r="65" spans="2:13" x14ac:dyDescent="0.25">
      <c r="B65" s="18">
        <v>49</v>
      </c>
      <c r="C65" s="19" t="str">
        <f t="shared" si="1"/>
        <v/>
      </c>
      <c r="D65" s="20" t="str">
        <f t="shared" si="2"/>
        <v/>
      </c>
      <c r="E65" s="23" t="str">
        <f>IF(C65=B65,D65-D64,"")</f>
        <v/>
      </c>
      <c r="F65" s="17" t="str">
        <f>IF(C64=$F$10,SUM($F$17:F64),IF(C65=B65,IF(C65=$F$10,I64,ROUND(H65-G65,2)),""))</f>
        <v/>
      </c>
      <c r="G65" s="17" t="str">
        <f>IF(C64=$F$10,SUM($G$17:G64),IF(C65=B65,ROUND(((($F$12+1)^((D65-D64)/360))-1)*I64,2),""))</f>
        <v/>
      </c>
      <c r="H65" s="17" t="str">
        <f>IF(C64=$F$10,SUM($H$17:H64),IF(C65=B65,IF(C65=$F$10,F65+G65,ROUND($I$16/VLOOKUP("Totales",$D$17:$K$116,8,FALSE),2)),""))</f>
        <v/>
      </c>
      <c r="I65" s="17" t="str">
        <f t="shared" si="3"/>
        <v/>
      </c>
      <c r="J65" s="17"/>
      <c r="K65" s="25" t="str">
        <f>IF(C64=$F$10,SUM($K$17:K64),IF(C65=B65,1/((1+$F$13)^SUM($E$17:E65)),""))</f>
        <v/>
      </c>
      <c r="L65" s="17" t="s">
        <v>17</v>
      </c>
      <c r="M65" s="17"/>
    </row>
    <row r="66" spans="2:13" x14ac:dyDescent="0.25">
      <c r="B66" s="18">
        <v>50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IF(C65=$F$10,SUM($F$17:F65),IF(C66=B66,IF(C66=$F$10,I65,ROUND(H66-G66,2)),""))</f>
        <v/>
      </c>
      <c r="G66" s="17" t="str">
        <f>IF(C65=$F$10,SUM($G$17:G65),IF(C66=B66,ROUND(((($F$12+1)^((D66-D65)/360))-1)*I65,2),""))</f>
        <v/>
      </c>
      <c r="H66" s="17" t="str">
        <f>IF(C65=$F$10,SUM($H$17:H65),IF(C66=B66,IF(C66=$F$10,F66+G66,ROUND($I$16/VLOOKUP("Totales",$D$17:$K$116,8,FALSE),2)),""))</f>
        <v/>
      </c>
      <c r="I66" s="17" t="str">
        <f>IF(C66=B66,ROUND(I65-F66,2),"")</f>
        <v/>
      </c>
      <c r="J66" s="17"/>
      <c r="K66" s="25" t="str">
        <f>IF(C65=$F$10,SUM($K$17:K65),IF(C66=B66,1/((1+$F$13)^SUM($E$17:E66)),""))</f>
        <v/>
      </c>
      <c r="L66" s="17" t="s">
        <v>17</v>
      </c>
      <c r="M66" s="17"/>
    </row>
    <row r="67" spans="2:13" x14ac:dyDescent="0.25">
      <c r="B67" s="18">
        <v>51</v>
      </c>
      <c r="C67" s="19" t="str">
        <f t="shared" si="1"/>
        <v/>
      </c>
      <c r="D67" s="20" t="str">
        <f t="shared" si="2"/>
        <v/>
      </c>
      <c r="E67" s="23" t="str">
        <f t="shared" ref="E67:E116" si="4">IF(C67=B67,D67-D66,"")</f>
        <v/>
      </c>
      <c r="F67" s="17" t="str">
        <f>IF(C66=$F$10,SUM($F$17:F66),IF(C67=B67,IF(C67=$F$10,I66,ROUND(H67-G67,2)),""))</f>
        <v/>
      </c>
      <c r="G67" s="17" t="str">
        <f>IF(C66=$F$10,SUM($G$17:G66),IF(C67=B67,ROUND(((($F$12+1)^((D67-D66)/360))-1)*I66,2),""))</f>
        <v/>
      </c>
      <c r="H67" s="17" t="str">
        <f>IF(C66=$F$10,SUM($H$17:H66),IF(C67=B67,IF(C67=$F$10,F67+G67,ROUND($I$16/VLOOKUP("Totales",$D$17:$K$116,8,FALSE),2)),""))</f>
        <v/>
      </c>
      <c r="I67" s="17" t="str">
        <f t="shared" ref="I67:I116" si="5">IF(C67=B67,ROUND(I66-F67,2),"")</f>
        <v/>
      </c>
      <c r="J67" s="17"/>
      <c r="K67" s="25" t="str">
        <f>IF(C66=$F$10,SUM($K$17:K66),IF(C67=B67,1/((1+$F$13)^SUM($E$17:E67)),""))</f>
        <v/>
      </c>
      <c r="L67" s="17" t="s">
        <v>17</v>
      </c>
      <c r="M67" s="17"/>
    </row>
    <row r="68" spans="2:13" x14ac:dyDescent="0.25">
      <c r="B68" s="18">
        <v>52</v>
      </c>
      <c r="C68" s="19" t="str">
        <f t="shared" si="1"/>
        <v/>
      </c>
      <c r="D68" s="20" t="str">
        <f t="shared" si="2"/>
        <v/>
      </c>
      <c r="E68" s="23" t="str">
        <f t="shared" si="4"/>
        <v/>
      </c>
      <c r="F68" s="17" t="str">
        <f>IF(C67=$F$10,SUM($F$17:F67),IF(C68=B68,IF(C68=$F$10,I67,ROUND(H68-G68,2)),""))</f>
        <v/>
      </c>
      <c r="G68" s="17" t="str">
        <f>IF(C67=$F$10,SUM($G$17:G67),IF(C68=B68,ROUND(((($F$12+1)^((D68-D67)/360))-1)*I67,2),""))</f>
        <v/>
      </c>
      <c r="H68" s="17" t="str">
        <f>IF(C67=$F$10,SUM($H$17:H67),IF(C68=B68,IF(C68=$F$10,F68+G68,ROUND($I$16/VLOOKUP("Totales",$D$17:$K$116,8,FALSE),2)),""))</f>
        <v/>
      </c>
      <c r="I68" s="17" t="str">
        <f t="shared" si="5"/>
        <v/>
      </c>
      <c r="J68" s="17"/>
      <c r="K68" s="25" t="str">
        <f>IF(C67=$F$10,SUM($K$17:K67),IF(C68=B68,1/((1+$F$13)^SUM($E$17:E68)),""))</f>
        <v/>
      </c>
    </row>
    <row r="69" spans="2:13" x14ac:dyDescent="0.25">
      <c r="B69" s="18">
        <v>53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IF(C68=$F$10,SUM($F$17:F68),IF(C69=B69,IF(C69=$F$10,I68,ROUND(H69-G69,2)),""))</f>
        <v/>
      </c>
      <c r="G69" s="17" t="str">
        <f>IF(C68=$F$10,SUM($G$17:G68),IF(C69=B69,ROUND(((($F$12+1)^((D69-D68)/360))-1)*I68,2),""))</f>
        <v/>
      </c>
      <c r="H69" s="17" t="str">
        <f>IF(C68=$F$10,SUM($H$17:H68),IF(C69=B69,IF(C69=$F$10,F69+G69,ROUND($I$16/VLOOKUP("Totales",$D$17:$K$116,8,FALSE),2)),""))</f>
        <v/>
      </c>
      <c r="I69" s="17" t="str">
        <f t="shared" si="5"/>
        <v/>
      </c>
      <c r="J69" s="17"/>
      <c r="K69" s="25" t="str">
        <f>IF(C68=$F$10,SUM($K$17:K68),IF(C69=B69,1/((1+$F$13)^SUM($E$17:E69)),""))</f>
        <v/>
      </c>
    </row>
    <row r="70" spans="2:13" x14ac:dyDescent="0.25">
      <c r="B70" s="18">
        <v>54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IF(C69=$F$10,SUM($F$17:F69),IF(C70=B70,IF(C70=$F$10,I69,ROUND(H70-G70,2)),""))</f>
        <v/>
      </c>
      <c r="G70" s="17" t="str">
        <f>IF(C69=$F$10,SUM($G$17:G69),IF(C70=B70,ROUND(((($F$12+1)^((D70-D69)/360))-1)*I69,2),""))</f>
        <v/>
      </c>
      <c r="H70" s="17" t="str">
        <f>IF(C69=$F$10,SUM($H$17:H69),IF(C70=B70,IF(C70=$F$10,F70+G70,ROUND($I$16/VLOOKUP("Totales",$D$17:$K$116,8,FALSE),2)),""))</f>
        <v/>
      </c>
      <c r="I70" s="17" t="str">
        <f t="shared" si="5"/>
        <v/>
      </c>
      <c r="J70" s="17"/>
      <c r="K70" s="25" t="str">
        <f>IF(C69=$F$10,SUM($K$17:K69),IF(C70=B70,1/((1+$F$13)^SUM($E$17:E70)),""))</f>
        <v/>
      </c>
    </row>
    <row r="71" spans="2:13" x14ac:dyDescent="0.25">
      <c r="B71" s="18">
        <v>55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IF(C70=$F$10,SUM($F$17:F70),IF(C71=B71,IF(C71=$F$10,I70,ROUND(H71-G71,2)),""))</f>
        <v/>
      </c>
      <c r="G71" s="17" t="str">
        <f>IF(C70=$F$10,SUM($G$17:G70),IF(C71=B71,ROUND(((($F$12+1)^((D71-D70)/360))-1)*I70,2),""))</f>
        <v/>
      </c>
      <c r="H71" s="17" t="str">
        <f>IF(C70=$F$10,SUM($H$17:H70),IF(C71=B71,IF(C71=$F$10,F71+G71,ROUND($I$16/VLOOKUP("Totales",$D$17:$K$116,8,FALSE),2)),""))</f>
        <v/>
      </c>
      <c r="I71" s="17" t="str">
        <f t="shared" si="5"/>
        <v/>
      </c>
      <c r="J71" s="17"/>
      <c r="K71" s="25" t="str">
        <f>IF(C70=$F$10,SUM($K$17:K70),IF(C71=B71,1/((1+$F$13)^SUM($E$17:E71)),""))</f>
        <v/>
      </c>
    </row>
    <row r="72" spans="2:13" x14ac:dyDescent="0.25">
      <c r="B72" s="18">
        <v>56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IF(C71=$F$10,SUM($F$17:F71),IF(C72=B72,IF(C72=$F$10,I71,ROUND(H72-G72,2)),""))</f>
        <v/>
      </c>
      <c r="G72" s="17" t="str">
        <f>IF(C71=$F$10,SUM($G$17:G71),IF(C72=B72,ROUND(((($F$12+1)^((D72-D71)/360))-1)*I71,2),""))</f>
        <v/>
      </c>
      <c r="H72" s="17" t="str">
        <f>IF(C71=$F$10,SUM($H$17:H71),IF(C72=B72,IF(C72=$F$10,F72+G72,ROUND($I$16/VLOOKUP("Totales",$D$17:$K$116,8,FALSE),2)),""))</f>
        <v/>
      </c>
      <c r="I72" s="17" t="str">
        <f t="shared" si="5"/>
        <v/>
      </c>
      <c r="J72" s="17"/>
      <c r="K72" s="25" t="str">
        <f>IF(C71=$F$10,SUM($K$17:K71),IF(C72=B72,1/((1+$F$13)^SUM($E$17:E72)),""))</f>
        <v/>
      </c>
    </row>
    <row r="73" spans="2:13" x14ac:dyDescent="0.25">
      <c r="B73" s="18">
        <v>57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IF(C72=$F$10,SUM($F$17:F72),IF(C73=B73,IF(C73=$F$10,I72,ROUND(H73-G73,2)),""))</f>
        <v/>
      </c>
      <c r="G73" s="17" t="str">
        <f>IF(C72=$F$10,SUM($G$17:G72),IF(C73=B73,ROUND(((($F$12+1)^((D73-D72)/360))-1)*I72,2),""))</f>
        <v/>
      </c>
      <c r="H73" s="17" t="str">
        <f>IF(C72=$F$10,SUM($H$17:H72),IF(C73=B73,IF(C73=$F$10,F73+G73,ROUND($I$16/VLOOKUP("Totales",$D$17:$K$116,8,FALSE),2)),""))</f>
        <v/>
      </c>
      <c r="I73" s="17" t="str">
        <f t="shared" si="5"/>
        <v/>
      </c>
      <c r="J73" s="17"/>
      <c r="K73" s="25" t="str">
        <f>IF(C72=$F$10,SUM($K$17:K72),IF(C73=B73,1/((1+$F$13)^SUM($E$17:E73)),""))</f>
        <v/>
      </c>
    </row>
    <row r="74" spans="2:13" x14ac:dyDescent="0.25">
      <c r="B74" s="18">
        <v>58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IF(C73=$F$10,SUM($F$17:F73),IF(C74=B74,IF(C74=$F$10,I73,ROUND(H74-G74,2)),""))</f>
        <v/>
      </c>
      <c r="G74" s="17" t="str">
        <f>IF(C73=$F$10,SUM($G$17:G73),IF(C74=B74,ROUND(((($F$12+1)^((D74-D73)/360))-1)*I73,2),""))</f>
        <v/>
      </c>
      <c r="H74" s="17" t="str">
        <f>IF(C73=$F$10,SUM($H$17:H73),IF(C74=B74,IF(C74=$F$10,F74+G74,ROUND($I$16/VLOOKUP("Totales",$D$17:$K$116,8,FALSE),2)),""))</f>
        <v/>
      </c>
      <c r="I74" s="17" t="str">
        <f t="shared" si="5"/>
        <v/>
      </c>
      <c r="J74" s="17"/>
      <c r="K74" s="25" t="str">
        <f>IF(C73=$F$10,SUM($K$17:K73),IF(C74=B74,1/((1+$F$13)^SUM($E$17:E74)),""))</f>
        <v/>
      </c>
    </row>
    <row r="75" spans="2:13" x14ac:dyDescent="0.25">
      <c r="B75" s="18">
        <v>59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IF(C74=$F$10,SUM($F$17:F74),IF(C75=B75,IF(C75=$F$10,I74,ROUND(H75-G75,2)),""))</f>
        <v/>
      </c>
      <c r="G75" s="17" t="str">
        <f>IF(C74=$F$10,SUM($G$17:G74),IF(C75=B75,ROUND(((($F$12+1)^((D75-D74)/360))-1)*I74,2),""))</f>
        <v/>
      </c>
      <c r="H75" s="17" t="str">
        <f>IF(C74=$F$10,SUM($H$17:H74),IF(C75=B75,IF(C75=$F$10,F75+G75,ROUND($I$16/VLOOKUP("Totales",$D$17:$K$116,8,FALSE),2)),""))</f>
        <v/>
      </c>
      <c r="I75" s="17" t="str">
        <f t="shared" si="5"/>
        <v/>
      </c>
      <c r="J75" s="17"/>
      <c r="K75" s="25" t="str">
        <f>IF(C74=$F$10,SUM($K$17:K74),IF(C75=B75,1/((1+$F$13)^SUM($E$17:E75)),""))</f>
        <v/>
      </c>
    </row>
    <row r="76" spans="2:13" x14ac:dyDescent="0.25">
      <c r="B76" s="18">
        <v>60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IF(C75=$F$10,SUM($F$17:F75),IF(C76=B76,IF(C76=$F$10,I75,ROUND(H76-G76,2)),""))</f>
        <v/>
      </c>
      <c r="G76" s="17" t="str">
        <f>IF(C75=$F$10,SUM($G$17:G75),IF(C76=B76,ROUND(((($F$12+1)^((D76-D75)/360))-1)*I75,2),""))</f>
        <v/>
      </c>
      <c r="H76" s="17" t="str">
        <f>IF(C75=$F$10,SUM($H$17:H75),IF(C76=B76,IF(C76=$F$10,F76+G76,ROUND($I$16/VLOOKUP("Totales",$D$17:$K$116,8,FALSE),2)),""))</f>
        <v/>
      </c>
      <c r="I76" s="17" t="str">
        <f t="shared" si="5"/>
        <v/>
      </c>
      <c r="J76" s="17"/>
      <c r="K76" s="25" t="str">
        <f>IF(C75=$F$10,SUM($K$17:K75),IF(C76=B76,1/((1+$F$13)^SUM($E$17:E76)),""))</f>
        <v/>
      </c>
    </row>
    <row r="77" spans="2:13" x14ac:dyDescent="0.25">
      <c r="B77" s="18">
        <v>61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IF(C76=$F$10,SUM($F$17:F76),IF(C77=B77,IF(C77=$F$10,I76,ROUND(H77-G77,2)),""))</f>
        <v/>
      </c>
      <c r="G77" s="17" t="str">
        <f>IF(C76=$F$10,SUM($G$17:G76),IF(C77=B77,ROUND(((($F$12+1)^((D77-D76)/360))-1)*I76,2),""))</f>
        <v/>
      </c>
      <c r="H77" s="17" t="str">
        <f>IF(C76=$F$10,SUM($H$17:H76),IF(C77=B77,IF(C77=$F$10,F77+G77,ROUND($I$16/VLOOKUP("Totales",$D$17:$K$116,8,FALSE),2)),""))</f>
        <v/>
      </c>
      <c r="I77" s="17" t="str">
        <f t="shared" si="5"/>
        <v/>
      </c>
      <c r="J77" s="17"/>
      <c r="K77" s="25" t="str">
        <f>IF(C76=$F$10,SUM($K$17:K76),IF(C77=B77,1/((1+$F$13)^SUM($E$17:E77)),""))</f>
        <v/>
      </c>
    </row>
    <row r="78" spans="2:13" x14ac:dyDescent="0.25">
      <c r="B78" s="18">
        <v>62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IF(C77=$F$10,SUM($F$17:F77),IF(C78=B78,IF(C78=$F$10,I77,ROUND(H78-G78,2)),""))</f>
        <v/>
      </c>
      <c r="G78" s="17" t="str">
        <f>IF(C77=$F$10,SUM($G$17:G77),IF(C78=B78,ROUND(((($F$12+1)^((D78-D77)/360))-1)*I77,2),""))</f>
        <v/>
      </c>
      <c r="H78" s="17" t="str">
        <f>IF(C77=$F$10,SUM($H$17:H77),IF(C78=B78,IF(C78=$F$10,F78+G78,ROUND($I$16/VLOOKUP("Totales",$D$17:$K$116,8,FALSE),2)),""))</f>
        <v/>
      </c>
      <c r="I78" s="17" t="str">
        <f t="shared" si="5"/>
        <v/>
      </c>
      <c r="J78" s="17"/>
      <c r="K78" s="25" t="str">
        <f>IF(C77=$F$10,SUM($K$17:K77),IF(C78=B78,1/((1+$F$13)^SUM($E$17:E78)),""))</f>
        <v/>
      </c>
    </row>
    <row r="79" spans="2:13" x14ac:dyDescent="0.25">
      <c r="B79" s="18">
        <v>63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IF(C78=$F$10,SUM($F$17:F78),IF(C79=B79,IF(C79=$F$10,I78,ROUND(H79-G79,2)),""))</f>
        <v/>
      </c>
      <c r="G79" s="17" t="str">
        <f>IF(C78=$F$10,SUM($G$17:G78),IF(C79=B79,ROUND(((($F$12+1)^((D79-D78)/360))-1)*I78,2),""))</f>
        <v/>
      </c>
      <c r="H79" s="17" t="str">
        <f>IF(C78=$F$10,SUM($H$17:H78),IF(C79=B79,IF(C79=$F$10,F79+G79,ROUND($I$16/VLOOKUP("Totales",$D$17:$K$116,8,FALSE),2)),""))</f>
        <v/>
      </c>
      <c r="I79" s="17" t="str">
        <f t="shared" si="5"/>
        <v/>
      </c>
      <c r="J79" s="17"/>
      <c r="K79" s="25" t="str">
        <f>IF(C78=$F$10,SUM($K$17:K78),IF(C79=B79,1/((1+$F$13)^SUM($E$17:E79)),""))</f>
        <v/>
      </c>
    </row>
    <row r="80" spans="2:13" x14ac:dyDescent="0.25">
      <c r="B80" s="18">
        <v>64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IF(C79=$F$10,SUM($F$17:F79),IF(C80=B80,IF(C80=$F$10,I79,ROUND(H80-G80,2)),""))</f>
        <v/>
      </c>
      <c r="G80" s="17" t="str">
        <f>IF(C79=$F$10,SUM($G$17:G79),IF(C80=B80,ROUND(((($F$12+1)^((D80-D79)/360))-1)*I79,2),""))</f>
        <v/>
      </c>
      <c r="H80" s="17" t="str">
        <f>IF(C79=$F$10,SUM($H$17:H79),IF(C80=B80,IF(C80=$F$10,F80+G80,ROUND($I$16/VLOOKUP("Totales",$D$17:$K$116,8,FALSE),2)),""))</f>
        <v/>
      </c>
      <c r="I80" s="17" t="str">
        <f t="shared" si="5"/>
        <v/>
      </c>
      <c r="J80" s="17"/>
      <c r="K80" s="25" t="str">
        <f>IF(C79=$F$10,SUM($K$17:K79),IF(C80=B80,1/((1+$F$13)^SUM($E$17:E80)),""))</f>
        <v/>
      </c>
    </row>
    <row r="81" spans="2:11" x14ac:dyDescent="0.25">
      <c r="B81" s="18">
        <v>65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IF(C80=$F$10,SUM($F$17:F80),IF(C81=B81,IF(C81=$F$10,I80,ROUND(H81-G81,2)),""))</f>
        <v/>
      </c>
      <c r="G81" s="17" t="str">
        <f>IF(C80=$F$10,SUM($G$17:G80),IF(C81=B81,ROUND(((($F$12+1)^((D81-D80)/360))-1)*I80,2),""))</f>
        <v/>
      </c>
      <c r="H81" s="17" t="str">
        <f>IF(C80=$F$10,SUM($H$17:H80),IF(C81=B81,IF(C81=$F$10,F81+G81,ROUND($I$16/VLOOKUP("Totales",$D$17:$K$116,8,FALSE),2)),""))</f>
        <v/>
      </c>
      <c r="I81" s="17" t="str">
        <f t="shared" si="5"/>
        <v/>
      </c>
      <c r="J81" s="17"/>
      <c r="K81" s="25" t="str">
        <f>IF(C80=$F$10,SUM($K$17:K80),IF(C81=B81,1/((1+$F$13)^SUM($E$17:E81)),""))</f>
        <v/>
      </c>
    </row>
    <row r="82" spans="2:11" x14ac:dyDescent="0.25">
      <c r="B82" s="18">
        <v>66</v>
      </c>
      <c r="C82" s="19" t="str">
        <f t="shared" ref="C82:C116" si="6">IF(B82&lt;=$F$10,B82,"")</f>
        <v/>
      </c>
      <c r="D82" s="20" t="str">
        <f t="shared" ref="D82:D115" si="7">IF(C81=$F$10,"Totales",IF(B82&lt;=$F$10,DATE(IF(MONTH(D81)=12,YEAR(D81)+1,YEAR(D81)),IF(MONTH(D81)=12,1,IF(DAY(D81)&lt;10,MONTH(D81),MONTH(D81)+1)),28),""))</f>
        <v/>
      </c>
      <c r="E82" s="23" t="str">
        <f t="shared" si="4"/>
        <v/>
      </c>
      <c r="F82" s="17" t="str">
        <f>IF(C81=$F$10,SUM($F$17:F81),IF(C82=B82,IF(C82=$F$10,I81,ROUND(H82-G82,2)),""))</f>
        <v/>
      </c>
      <c r="G82" s="17" t="str">
        <f>IF(C81=$F$10,SUM($G$17:G81),IF(C82=B82,ROUND(((($F$12+1)^((D82-D81)/360))-1)*I81,2),""))</f>
        <v/>
      </c>
      <c r="H82" s="17" t="str">
        <f>IF(C81=$F$10,SUM($H$17:H81),IF(C82=B82,IF(C82=$F$10,F82+G82,ROUND($I$16/VLOOKUP("Totales",$D$17:$K$116,8,FALSE),2)),""))</f>
        <v/>
      </c>
      <c r="I82" s="17" t="str">
        <f t="shared" si="5"/>
        <v/>
      </c>
      <c r="J82" s="17"/>
      <c r="K82" s="25" t="str">
        <f>IF(C81=$F$10,SUM($K$17:K81),IF(C82=B82,1/((1+$F$13)^SUM($E$17:E82)),""))</f>
        <v/>
      </c>
    </row>
    <row r="83" spans="2:11" x14ac:dyDescent="0.25">
      <c r="B83" s="18">
        <v>67</v>
      </c>
      <c r="C83" s="19" t="str">
        <f t="shared" si="6"/>
        <v/>
      </c>
      <c r="D83" s="20" t="str">
        <f t="shared" si="7"/>
        <v/>
      </c>
      <c r="E83" s="23" t="str">
        <f t="shared" si="4"/>
        <v/>
      </c>
      <c r="F83" s="17" t="str">
        <f>IF(C82=$F$10,SUM($F$17:F82),IF(C83=B83,IF(C83=$F$10,I82,ROUND(H83-G83,2)),""))</f>
        <v/>
      </c>
      <c r="G83" s="17" t="str">
        <f>IF(C82=$F$10,SUM($G$17:G82),IF(C83=B83,ROUND(((($F$12+1)^((D83-D82)/360))-1)*I82,2),""))</f>
        <v/>
      </c>
      <c r="H83" s="17" t="str">
        <f>IF(C82=$F$10,SUM($H$17:H82),IF(C83=B83,IF(C83=$F$10,F83+G83,ROUND($I$16/VLOOKUP("Totales",$D$17:$K$116,8,FALSE),2)),""))</f>
        <v/>
      </c>
      <c r="I83" s="17" t="str">
        <f t="shared" si="5"/>
        <v/>
      </c>
      <c r="J83" s="17"/>
      <c r="K83" s="25" t="str">
        <f>IF(C82=$F$10,SUM($K$17:K82),IF(C83=B83,1/((1+$F$13)^SUM($E$17:E83)),""))</f>
        <v/>
      </c>
    </row>
    <row r="84" spans="2:11" x14ac:dyDescent="0.25">
      <c r="B84" s="18">
        <v>68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IF(C83=$F$10,SUM($F$17:F83),IF(C84=B84,IF(C84=$F$10,I83,ROUND(H84-G84,2)),""))</f>
        <v/>
      </c>
      <c r="G84" s="17" t="str">
        <f>IF(C83=$F$10,SUM($G$17:G83),IF(C84=B84,ROUND(((($F$12+1)^((D84-D83)/360))-1)*I83,2),""))</f>
        <v/>
      </c>
      <c r="H84" s="17" t="str">
        <f>IF(C83=$F$10,SUM($H$17:H83),IF(C84=B84,IF(C84=$F$10,F84+G84,ROUND($I$16/VLOOKUP("Totales",$D$17:$K$116,8,FALSE),2)),""))</f>
        <v/>
      </c>
      <c r="I84" s="17" t="str">
        <f t="shared" si="5"/>
        <v/>
      </c>
      <c r="J84" s="17"/>
      <c r="K84" s="25" t="str">
        <f>IF(C83=$F$10,SUM($K$17:K83),IF(C84=B84,1/((1+$F$13)^SUM($E$17:E84)),""))</f>
        <v/>
      </c>
    </row>
    <row r="85" spans="2:11" x14ac:dyDescent="0.25">
      <c r="B85" s="18">
        <v>69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IF(C84=$F$10,SUM($F$17:F84),IF(C85=B85,IF(C85=$F$10,I84,ROUND(H85-G85,2)),""))</f>
        <v/>
      </c>
      <c r="G85" s="17" t="str">
        <f>IF(C84=$F$10,SUM($G$17:G84),IF(C85=B85,ROUND(((($F$12+1)^((D85-D84)/360))-1)*I84,2),""))</f>
        <v/>
      </c>
      <c r="H85" s="17" t="str">
        <f>IF(C84=$F$10,SUM($H$17:H84),IF(C85=B85,IF(C85=$F$10,F85+G85,ROUND($I$16/VLOOKUP("Totales",$D$17:$K$116,8,FALSE),2)),""))</f>
        <v/>
      </c>
      <c r="I85" s="17" t="str">
        <f t="shared" si="5"/>
        <v/>
      </c>
      <c r="J85" s="17"/>
      <c r="K85" s="25" t="str">
        <f>IF(C84=$F$10,SUM($K$17:K84),IF(C85=B85,1/((1+$F$13)^SUM($E$17:E85)),""))</f>
        <v/>
      </c>
    </row>
    <row r="86" spans="2:11" x14ac:dyDescent="0.25">
      <c r="B86" s="18">
        <v>70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IF(C85=$F$10,SUM($F$17:F85),IF(C86=B86,IF(C86=$F$10,I85,ROUND(H86-G86,2)),""))</f>
        <v/>
      </c>
      <c r="G86" s="17" t="str">
        <f>IF(C85=$F$10,SUM($G$17:G85),IF(C86=B86,ROUND(((($F$12+1)^((D86-D85)/360))-1)*I85,2),""))</f>
        <v/>
      </c>
      <c r="H86" s="17" t="str">
        <f>IF(C85=$F$10,SUM($H$17:H85),IF(C86=B86,IF(C86=$F$10,F86+G86,ROUND($I$16/VLOOKUP("Totales",$D$17:$K$116,8,FALSE),2)),""))</f>
        <v/>
      </c>
      <c r="I86" s="17" t="str">
        <f t="shared" si="5"/>
        <v/>
      </c>
      <c r="J86" s="17"/>
      <c r="K86" s="25" t="str">
        <f>IF(C85=$F$10,SUM($K$17:K85),IF(C86=B86,1/((1+$F$13)^SUM($E$17:E86)),""))</f>
        <v/>
      </c>
    </row>
    <row r="87" spans="2:11" x14ac:dyDescent="0.25">
      <c r="B87" s="18">
        <v>71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IF(C86=$F$10,SUM($F$17:F86),IF(C87=B87,IF(C87=$F$10,I86,ROUND(H87-G87,2)),""))</f>
        <v/>
      </c>
      <c r="G87" s="17" t="str">
        <f>IF(C86=$F$10,SUM($G$17:G86),IF(C87=B87,ROUND(((($F$12+1)^((D87-D86)/360))-1)*I86,2),""))</f>
        <v/>
      </c>
      <c r="H87" s="17" t="str">
        <f>IF(C86=$F$10,SUM($H$17:H86),IF(C87=B87,IF(C87=$F$10,F87+G87,ROUND($I$16/VLOOKUP("Totales",$D$17:$K$116,8,FALSE),2)),""))</f>
        <v/>
      </c>
      <c r="I87" s="17" t="str">
        <f t="shared" si="5"/>
        <v/>
      </c>
      <c r="J87" s="17"/>
      <c r="K87" s="25" t="str">
        <f>IF(C86=$F$10,SUM($K$17:K86),IF(C87=B87,1/((1+$F$13)^SUM($E$17:E87)),""))</f>
        <v/>
      </c>
    </row>
    <row r="88" spans="2:11" x14ac:dyDescent="0.25">
      <c r="B88" s="18">
        <v>72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IF(C87=$F$10,SUM($F$17:F87),IF(C88=B88,IF(C88=$F$10,I87,ROUND(H88-G88,2)),""))</f>
        <v/>
      </c>
      <c r="G88" s="17" t="str">
        <f>IF(C87=$F$10,SUM($G$17:G87),IF(C88=B88,ROUND(((($F$12+1)^((D88-D87)/360))-1)*I87,2),""))</f>
        <v/>
      </c>
      <c r="H88" s="17" t="str">
        <f>IF(C87=$F$10,SUM($H$17:H87),IF(C88=B88,IF(C88=$F$10,F88+G88,ROUND($I$16/VLOOKUP("Totales",$D$17:$K$116,8,FALSE),2)),""))</f>
        <v/>
      </c>
      <c r="I88" s="17" t="str">
        <f t="shared" si="5"/>
        <v/>
      </c>
      <c r="J88" s="17"/>
      <c r="K88" s="25" t="str">
        <f>IF(C87=$F$10,SUM($K$17:K87),IF(C88=B88,1/((1+$F$13)^SUM($E$17:E88)),""))</f>
        <v/>
      </c>
    </row>
    <row r="89" spans="2:11" x14ac:dyDescent="0.25">
      <c r="B89" s="18">
        <v>73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IF(C88=$F$10,SUM($F$17:F88),IF(C89=B89,IF(C89=$F$10,I88,ROUND(H89-G89,2)),""))</f>
        <v/>
      </c>
      <c r="G89" s="17" t="str">
        <f>IF(C88=$F$10,SUM($G$17:G88),IF(C89=B89,ROUND(((($F$12+1)^((D89-D88)/360))-1)*I88,2),""))</f>
        <v/>
      </c>
      <c r="H89" s="17" t="str">
        <f>IF(C88=$F$10,SUM($H$17:H88),IF(C89=B89,IF(C89=$F$10,F89+G89,ROUND($I$16/VLOOKUP("Totales",$D$17:$K$116,8,FALSE),2)),""))</f>
        <v/>
      </c>
      <c r="I89" s="17" t="str">
        <f t="shared" si="5"/>
        <v/>
      </c>
      <c r="J89" s="17"/>
      <c r="K89" s="25" t="str">
        <f>IF(C88=$F$10,SUM($K$17:K88),IF(C89=B89,1/((1+$F$13)^SUM($E$17:E89)),""))</f>
        <v/>
      </c>
    </row>
    <row r="90" spans="2:11" x14ac:dyDescent="0.25">
      <c r="B90" s="18">
        <v>74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IF(C89=$F$10,SUM($F$17:F89),IF(C90=B90,IF(C90=$F$10,I89,ROUND(H90-G90,2)),""))</f>
        <v/>
      </c>
      <c r="G90" s="17" t="str">
        <f>IF(C89=$F$10,SUM($G$17:G89),IF(C90=B90,ROUND(((($F$12+1)^((D90-D89)/360))-1)*I89,2),""))</f>
        <v/>
      </c>
      <c r="H90" s="17" t="str">
        <f>IF(C89=$F$10,SUM($H$17:H89),IF(C90=B90,IF(C90=$F$10,F90+G90,ROUND($I$16/VLOOKUP("Totales",$D$17:$K$116,8,FALSE),2)),""))</f>
        <v/>
      </c>
      <c r="I90" s="17" t="str">
        <f t="shared" si="5"/>
        <v/>
      </c>
      <c r="J90" s="17"/>
      <c r="K90" s="25" t="str">
        <f>IF(C89=$F$10,SUM($K$17:K89),IF(C90=B90,1/((1+$F$13)^SUM($E$17:E90)),""))</f>
        <v/>
      </c>
    </row>
    <row r="91" spans="2:11" x14ac:dyDescent="0.25">
      <c r="B91" s="18">
        <v>75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IF(C90=$F$10,SUM($F$17:F90),IF(C91=B91,IF(C91=$F$10,I90,ROUND(H91-G91,2)),""))</f>
        <v/>
      </c>
      <c r="G91" s="17" t="str">
        <f>IF(C90=$F$10,SUM($G$17:G90),IF(C91=B91,ROUND(((($F$12+1)^((D91-D90)/360))-1)*I90,2),""))</f>
        <v/>
      </c>
      <c r="H91" s="17" t="str">
        <f>IF(C90=$F$10,SUM($H$17:H90),IF(C91=B91,IF(C91=$F$10,F91+G91,ROUND($I$16/VLOOKUP("Totales",$D$17:$K$116,8,FALSE),2)),""))</f>
        <v/>
      </c>
      <c r="I91" s="17" t="str">
        <f t="shared" si="5"/>
        <v/>
      </c>
      <c r="J91" s="17"/>
      <c r="K91" s="25" t="str">
        <f>IF(C90=$F$10,SUM($K$17:K90),IF(C91=B91,1/((1+$F$13)^SUM($E$17:E91)),""))</f>
        <v/>
      </c>
    </row>
    <row r="92" spans="2:11" x14ac:dyDescent="0.25">
      <c r="B92" s="18">
        <v>76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IF(C91=$F$10,SUM($F$17:F91),IF(C92=B92,IF(C92=$F$10,I91,ROUND(H92-G92,2)),""))</f>
        <v/>
      </c>
      <c r="G92" s="17" t="str">
        <f>IF(C91=$F$10,SUM($G$17:G91),IF(C92=B92,ROUND(((($F$12+1)^((D92-D91)/360))-1)*I91,2),""))</f>
        <v/>
      </c>
      <c r="H92" s="17" t="str">
        <f>IF(C91=$F$10,SUM($H$17:H91),IF(C92=B92,IF(C92=$F$10,F92+G92,ROUND($I$16/VLOOKUP("Totales",$D$17:$K$116,8,FALSE),2)),""))</f>
        <v/>
      </c>
      <c r="I92" s="17" t="str">
        <f t="shared" si="5"/>
        <v/>
      </c>
      <c r="J92" s="17"/>
      <c r="K92" s="25" t="str">
        <f>IF(C91=$F$10,SUM($K$17:K91),IF(C92=B92,1/((1+$F$13)^SUM($E$17:E92)),""))</f>
        <v/>
      </c>
    </row>
    <row r="93" spans="2:11" x14ac:dyDescent="0.25">
      <c r="B93" s="18">
        <v>77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IF(C92=$F$10,SUM($F$17:F92),IF(C93=B93,IF(C93=$F$10,I92,ROUND(H93-G93,2)),""))</f>
        <v/>
      </c>
      <c r="G93" s="17" t="str">
        <f>IF(C92=$F$10,SUM($G$17:G92),IF(C93=B93,ROUND(((($F$12+1)^((D93-D92)/360))-1)*I92,2),""))</f>
        <v/>
      </c>
      <c r="H93" s="17" t="str">
        <f>IF(C92=$F$10,SUM($H$17:H92),IF(C93=B93,IF(C93=$F$10,F93+G93,ROUND($I$16/VLOOKUP("Totales",$D$17:$K$116,8,FALSE),2)),""))</f>
        <v/>
      </c>
      <c r="I93" s="17" t="str">
        <f t="shared" si="5"/>
        <v/>
      </c>
      <c r="J93" s="17"/>
      <c r="K93" s="25" t="str">
        <f>IF(C92=$F$10,SUM($K$17:K92),IF(C93=B93,1/((1+$F$13)^SUM($E$17:E93)),""))</f>
        <v/>
      </c>
    </row>
    <row r="94" spans="2:11" x14ac:dyDescent="0.25">
      <c r="B94" s="18">
        <v>78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IF(C93=$F$10,SUM($F$17:F93),IF(C94=B94,IF(C94=$F$10,I93,ROUND(H94-G94,2)),""))</f>
        <v/>
      </c>
      <c r="G94" s="17" t="str">
        <f>IF(C93=$F$10,SUM($G$17:G93),IF(C94=B94,ROUND(((($F$12+1)^((D94-D93)/360))-1)*I93,2),""))</f>
        <v/>
      </c>
      <c r="H94" s="17" t="str">
        <f>IF(C93=$F$10,SUM($H$17:H93),IF(C94=B94,IF(C94=$F$10,F94+G94,ROUND($I$16/VLOOKUP("Totales",$D$17:$K$116,8,FALSE),2)),""))</f>
        <v/>
      </c>
      <c r="I94" s="17" t="str">
        <f t="shared" si="5"/>
        <v/>
      </c>
      <c r="J94" s="17"/>
      <c r="K94" s="25" t="str">
        <f>IF(C93=$F$10,SUM($K$17:K93),IF(C94=B94,1/((1+$F$13)^SUM($E$17:E94)),""))</f>
        <v/>
      </c>
    </row>
    <row r="95" spans="2:11" x14ac:dyDescent="0.25">
      <c r="B95" s="18">
        <v>79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IF(C94=$F$10,SUM($F$17:F94),IF(C95=B95,IF(C95=$F$10,I94,ROUND(H95-G95,2)),""))</f>
        <v/>
      </c>
      <c r="G95" s="17" t="str">
        <f>IF(C94=$F$10,SUM($G$17:G94),IF(C95=B95,ROUND(((($F$12+1)^((D95-D94)/360))-1)*I94,2),""))</f>
        <v/>
      </c>
      <c r="H95" s="17" t="str">
        <f>IF(C94=$F$10,SUM($H$17:H94),IF(C95=B95,IF(C95=$F$10,F95+G95,ROUND($I$16/VLOOKUP("Totales",$D$17:$K$116,8,FALSE),2)),""))</f>
        <v/>
      </c>
      <c r="I95" s="17" t="str">
        <f t="shared" si="5"/>
        <v/>
      </c>
      <c r="J95" s="17"/>
      <c r="K95" s="25" t="str">
        <f>IF(C94=$F$10,SUM($K$17:K94),IF(C95=B95,1/((1+$F$13)^SUM($E$17:E95)),""))</f>
        <v/>
      </c>
    </row>
    <row r="96" spans="2:11" x14ac:dyDescent="0.25">
      <c r="B96" s="18">
        <v>80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IF(C95=$F$10,SUM($F$17:F95),IF(C96=B96,IF(C96=$F$10,I95,ROUND(H96-G96,2)),""))</f>
        <v/>
      </c>
      <c r="G96" s="17" t="str">
        <f>IF(C95=$F$10,SUM($G$17:G95),IF(C96=B96,ROUND(((($F$12+1)^((D96-D95)/360))-1)*I95,2),""))</f>
        <v/>
      </c>
      <c r="H96" s="17" t="str">
        <f>IF(C95=$F$10,SUM($H$17:H95),IF(C96=B96,IF(C96=$F$10,F96+G96,ROUND($I$16/VLOOKUP("Totales",$D$17:$K$116,8,FALSE),2)),""))</f>
        <v/>
      </c>
      <c r="I96" s="17" t="str">
        <f t="shared" si="5"/>
        <v/>
      </c>
      <c r="J96" s="17"/>
      <c r="K96" s="25" t="str">
        <f>IF(C95=$F$10,SUM($K$17:K95),IF(C96=B96,1/((1+$F$13)^SUM($E$17:E96)),""))</f>
        <v/>
      </c>
    </row>
    <row r="97" spans="2:11" x14ac:dyDescent="0.25">
      <c r="B97" s="18">
        <v>81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IF(C96=$F$10,SUM($F$17:F96),IF(C97=B97,IF(C97=$F$10,I96,ROUND(H97-G97,2)),""))</f>
        <v/>
      </c>
      <c r="G97" s="17" t="str">
        <f>IF(C96=$F$10,SUM($G$17:G96),IF(C97=B97,ROUND(((($F$12+1)^((D97-D96)/360))-1)*I96,2),""))</f>
        <v/>
      </c>
      <c r="H97" s="17" t="str">
        <f>IF(C96=$F$10,SUM($H$17:H96),IF(C97=B97,IF(C97=$F$10,F97+G97,ROUND($I$16/VLOOKUP("Totales",$D$17:$K$116,8,FALSE),2)),""))</f>
        <v/>
      </c>
      <c r="I97" s="17" t="str">
        <f t="shared" si="5"/>
        <v/>
      </c>
      <c r="J97" s="17"/>
      <c r="K97" s="25" t="str">
        <f>IF(C96=$F$10,SUM($K$17:K96),IF(C97=B97,1/((1+$F$13)^SUM($E$17:E97)),""))</f>
        <v/>
      </c>
    </row>
    <row r="98" spans="2:11" x14ac:dyDescent="0.25">
      <c r="B98" s="18">
        <v>82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IF(C97=$F$10,SUM($F$17:F97),IF(C98=B98,IF(C98=$F$10,I97,ROUND(H98-G98,2)),""))</f>
        <v/>
      </c>
      <c r="G98" s="17" t="str">
        <f>IF(C97=$F$10,SUM($G$17:G97),IF(C98=B98,ROUND(((($F$12+1)^((D98-D97)/360))-1)*I97,2),""))</f>
        <v/>
      </c>
      <c r="H98" s="17" t="str">
        <f>IF(C97=$F$10,SUM($H$17:H97),IF(C98=B98,IF(C98=$F$10,F98+G98,ROUND($I$16/VLOOKUP("Totales",$D$17:$K$116,8,FALSE),2)),""))</f>
        <v/>
      </c>
      <c r="I98" s="17" t="str">
        <f t="shared" si="5"/>
        <v/>
      </c>
      <c r="J98" s="17"/>
      <c r="K98" s="25" t="str">
        <f>IF(C97=$F$10,SUM($K$17:K97),IF(C98=B98,1/((1+$F$13)^SUM($E$17:E98)),""))</f>
        <v/>
      </c>
    </row>
    <row r="99" spans="2:11" x14ac:dyDescent="0.25">
      <c r="B99" s="18">
        <v>83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IF(C98=$F$10,SUM($F$17:F98),IF(C99=B99,IF(C99=$F$10,I98,ROUND(H99-G99,2)),""))</f>
        <v/>
      </c>
      <c r="G99" s="17" t="str">
        <f>IF(C98=$F$10,SUM($G$17:G98),IF(C99=B99,ROUND(((($F$12+1)^((D99-D98)/360))-1)*I98,2),""))</f>
        <v/>
      </c>
      <c r="H99" s="17" t="str">
        <f>IF(C98=$F$10,SUM($H$17:H98),IF(C99=B99,IF(C99=$F$10,F99+G99,ROUND($I$16/VLOOKUP("Totales",$D$17:$K$116,8,FALSE),2)),""))</f>
        <v/>
      </c>
      <c r="I99" s="17" t="str">
        <f t="shared" si="5"/>
        <v/>
      </c>
      <c r="J99" s="17"/>
      <c r="K99" s="25" t="str">
        <f>IF(C98=$F$10,SUM($K$17:K98),IF(C99=B99,1/((1+$F$13)^SUM($E$17:E99)),""))</f>
        <v/>
      </c>
    </row>
    <row r="100" spans="2:11" x14ac:dyDescent="0.25">
      <c r="B100" s="18">
        <v>84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IF(C99=$F$10,SUM($F$17:F99),IF(C100=B100,IF(C100=$F$10,I99,ROUND(H100-G100,2)),""))</f>
        <v/>
      </c>
      <c r="G100" s="17" t="str">
        <f>IF(C99=$F$10,SUM($G$17:G99),IF(C100=B100,ROUND(((($F$12+1)^((D100-D99)/360))-1)*I99,2),""))</f>
        <v/>
      </c>
      <c r="H100" s="17" t="str">
        <f>IF(C99=$F$10,SUM($H$17:H99),IF(C100=B100,IF(C100=$F$10,F100+G100,ROUND($I$16/VLOOKUP("Totales",$D$17:$K$116,8,FALSE),2)),""))</f>
        <v/>
      </c>
      <c r="I100" s="17" t="str">
        <f t="shared" si="5"/>
        <v/>
      </c>
      <c r="J100" s="17"/>
      <c r="K100" s="25" t="str">
        <f>IF(C99=$F$10,SUM($K$17:K99),IF(C100=B100,1/((1+$F$13)^SUM($E$17:E100)),""))</f>
        <v/>
      </c>
    </row>
    <row r="101" spans="2:11" x14ac:dyDescent="0.25">
      <c r="B101" s="18">
        <v>85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IF(C100=$F$10,SUM($F$17:F100),IF(C101=B101,IF(C101=$F$10,I100,ROUND(H101-G101,2)),""))</f>
        <v/>
      </c>
      <c r="G101" s="17" t="str">
        <f>IF(C100=$F$10,SUM($G$17:G100),IF(C101=B101,ROUND(((($F$12+1)^((D101-D100)/360))-1)*I100,2),""))</f>
        <v/>
      </c>
      <c r="H101" s="17" t="str">
        <f>IF(C100=$F$10,SUM($H$17:H100),IF(C101=B101,IF(C101=$F$10,F101+G101,ROUND($I$16/VLOOKUP("Totales",$D$17:$K$116,8,FALSE),2)),""))</f>
        <v/>
      </c>
      <c r="I101" s="17" t="str">
        <f t="shared" si="5"/>
        <v/>
      </c>
      <c r="J101" s="17"/>
      <c r="K101" s="25" t="str">
        <f>IF(C100=$F$10,SUM($K$17:K100),IF(C101=B101,1/((1+$F$13)^SUM($E$17:E101)),""))</f>
        <v/>
      </c>
    </row>
    <row r="102" spans="2:11" x14ac:dyDescent="0.25">
      <c r="B102" s="18">
        <v>86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IF(C101=$F$10,SUM($F$17:F101),IF(C102=B102,IF(C102=$F$10,I101,ROUND(H102-G102,2)),""))</f>
        <v/>
      </c>
      <c r="G102" s="17" t="str">
        <f>IF(C101=$F$10,SUM($G$17:G101),IF(C102=B102,ROUND(((($F$12+1)^((D102-D101)/360))-1)*I101,2),""))</f>
        <v/>
      </c>
      <c r="H102" s="17" t="str">
        <f>IF(C101=$F$10,SUM($H$17:H101),IF(C102=B102,IF(C102=$F$10,F102+G102,ROUND($I$16/VLOOKUP("Totales",$D$17:$K$116,8,FALSE),2)),""))</f>
        <v/>
      </c>
      <c r="I102" s="17" t="str">
        <f t="shared" si="5"/>
        <v/>
      </c>
      <c r="J102" s="17"/>
      <c r="K102" s="25" t="str">
        <f>IF(C101=$F$10,SUM($K$17:K101),IF(C102=B102,1/((1+$F$13)^SUM($E$17:E102)),""))</f>
        <v/>
      </c>
    </row>
    <row r="103" spans="2:11" x14ac:dyDescent="0.25">
      <c r="B103" s="18">
        <v>87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IF(C102=$F$10,SUM($F$17:F102),IF(C103=B103,IF(C103=$F$10,I102,ROUND(H103-G103,2)),""))</f>
        <v/>
      </c>
      <c r="G103" s="17" t="str">
        <f>IF(C102=$F$10,SUM($G$17:G102),IF(C103=B103,ROUND(((($F$12+1)^((D103-D102)/360))-1)*I102,2),""))</f>
        <v/>
      </c>
      <c r="H103" s="17" t="str">
        <f>IF(C102=$F$10,SUM($H$17:H102),IF(C103=B103,IF(C103=$F$10,F103+G103,ROUND($I$16/VLOOKUP("Totales",$D$17:$K$116,8,FALSE),2)),""))</f>
        <v/>
      </c>
      <c r="I103" s="17" t="str">
        <f t="shared" si="5"/>
        <v/>
      </c>
      <c r="J103" s="17"/>
      <c r="K103" s="25" t="str">
        <f>IF(C102=$F$10,SUM($K$17:K102),IF(C103=B103,1/((1+$F$13)^SUM($E$17:E103)),""))</f>
        <v/>
      </c>
    </row>
    <row r="104" spans="2:11" x14ac:dyDescent="0.25">
      <c r="B104" s="18">
        <v>88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IF(C103=$F$10,SUM($F$17:F103),IF(C104=B104,IF(C104=$F$10,I103,ROUND(H104-G104,2)),""))</f>
        <v/>
      </c>
      <c r="G104" s="17" t="str">
        <f>IF(C103=$F$10,SUM($G$17:G103),IF(C104=B104,ROUND(((($F$12+1)^((D104-D103)/360))-1)*I103,2),""))</f>
        <v/>
      </c>
      <c r="H104" s="17" t="str">
        <f>IF(C103=$F$10,SUM($H$17:H103),IF(C104=B104,IF(C104=$F$10,F104+G104,ROUND($I$16/VLOOKUP("Totales",$D$17:$K$116,8,FALSE),2)),""))</f>
        <v/>
      </c>
      <c r="I104" s="17" t="str">
        <f t="shared" si="5"/>
        <v/>
      </c>
      <c r="J104" s="17"/>
      <c r="K104" s="25" t="str">
        <f>IF(C103=$F$10,SUM($K$17:K103),IF(C104=B104,1/((1+$F$13)^SUM($E$17:E104)),""))</f>
        <v/>
      </c>
    </row>
    <row r="105" spans="2:11" x14ac:dyDescent="0.25">
      <c r="B105" s="18">
        <v>89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IF(C104=$F$10,SUM($F$17:F104),IF(C105=B105,IF(C105=$F$10,I104,ROUND(H105-G105,2)),""))</f>
        <v/>
      </c>
      <c r="G105" s="17" t="str">
        <f>IF(C104=$F$10,SUM($G$17:G104),IF(C105=B105,ROUND(((($F$12+1)^((D105-D104)/360))-1)*I104,2),""))</f>
        <v/>
      </c>
      <c r="H105" s="17" t="str">
        <f>IF(C104=$F$10,SUM($H$17:H104),IF(C105=B105,IF(C105=$F$10,F105+G105,ROUND($I$16/VLOOKUP("Totales",$D$17:$K$116,8,FALSE),2)),""))</f>
        <v/>
      </c>
      <c r="I105" s="17" t="str">
        <f t="shared" si="5"/>
        <v/>
      </c>
      <c r="J105" s="17"/>
      <c r="K105" s="25" t="str">
        <f>IF(C104=$F$10,SUM($K$17:K104),IF(C105=B105,1/((1+$F$13)^SUM($E$17:E105)),""))</f>
        <v/>
      </c>
    </row>
    <row r="106" spans="2:11" x14ac:dyDescent="0.25">
      <c r="B106" s="18">
        <v>90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IF(C105=$F$10,SUM($F$17:F105),IF(C106=B106,IF(C106=$F$10,I105,ROUND(H106-G106,2)),""))</f>
        <v/>
      </c>
      <c r="G106" s="17" t="str">
        <f>IF(C105=$F$10,SUM($G$17:G105),IF(C106=B106,ROUND(((($F$12+1)^((D106-D105)/360))-1)*I105,2),""))</f>
        <v/>
      </c>
      <c r="H106" s="17" t="str">
        <f>IF(C105=$F$10,SUM($H$17:H105),IF(C106=B106,IF(C106=$F$10,F106+G106,ROUND($I$16/VLOOKUP("Totales",$D$17:$K$116,8,FALSE),2)),""))</f>
        <v/>
      </c>
      <c r="I106" s="17" t="str">
        <f t="shared" si="5"/>
        <v/>
      </c>
      <c r="J106" s="17"/>
      <c r="K106" s="25" t="str">
        <f>IF(C105=$F$10,SUM($K$17:K105),IF(C106=B106,1/((1+$F$13)^SUM($E$17:E106)),""))</f>
        <v/>
      </c>
    </row>
    <row r="107" spans="2:11" x14ac:dyDescent="0.25">
      <c r="B107" s="18">
        <v>91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IF(C106=$F$10,SUM($F$17:F106),IF(C107=B107,IF(C107=$F$10,I106,ROUND(H107-G107,2)),""))</f>
        <v/>
      </c>
      <c r="G107" s="17" t="str">
        <f>IF(C106=$F$10,SUM($G$17:G106),IF(C107=B107,ROUND(((($F$12+1)^((D107-D106)/360))-1)*I106,2),""))</f>
        <v/>
      </c>
      <c r="H107" s="17" t="str">
        <f>IF(C106=$F$10,SUM($H$17:H106),IF(C107=B107,IF(C107=$F$10,F107+G107,ROUND($I$16/VLOOKUP("Totales",$D$17:$K$116,8,FALSE),2)),""))</f>
        <v/>
      </c>
      <c r="I107" s="17" t="str">
        <f t="shared" si="5"/>
        <v/>
      </c>
      <c r="J107" s="17"/>
      <c r="K107" s="25" t="str">
        <f>IF(C106=$F$10,SUM($K$17:K106),IF(C107=B107,1/((1+$F$13)^SUM($E$17:E107)),""))</f>
        <v/>
      </c>
    </row>
    <row r="108" spans="2:11" x14ac:dyDescent="0.25">
      <c r="B108" s="18">
        <v>92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IF(C107=$F$10,SUM($F$17:F107),IF(C108=B108,IF(C108=$F$10,I107,ROUND(H108-G108,2)),""))</f>
        <v/>
      </c>
      <c r="G108" s="17" t="str">
        <f>IF(C107=$F$10,SUM($G$17:G107),IF(C108=B108,ROUND(((($F$12+1)^((D108-D107)/360))-1)*I107,2),""))</f>
        <v/>
      </c>
      <c r="H108" s="17" t="str">
        <f>IF(C107=$F$10,SUM($H$17:H107),IF(C108=B108,IF(C108=$F$10,F108+G108,ROUND($I$16/VLOOKUP("Totales",$D$17:$K$116,8,FALSE),2)),""))</f>
        <v/>
      </c>
      <c r="I108" s="17" t="str">
        <f t="shared" si="5"/>
        <v/>
      </c>
      <c r="J108" s="17"/>
      <c r="K108" s="25" t="str">
        <f>IF(C107=$F$10,SUM($K$17:K107),IF(C108=B108,1/((1+$F$13)^SUM($E$17:E108)),""))</f>
        <v/>
      </c>
    </row>
    <row r="109" spans="2:11" x14ac:dyDescent="0.25">
      <c r="B109" s="18">
        <v>93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IF(C108=$F$10,SUM($F$17:F108),IF(C109=B109,IF(C109=$F$10,I108,ROUND(H109-G109,2)),""))</f>
        <v/>
      </c>
      <c r="G109" s="17" t="str">
        <f>IF(C108=$F$10,SUM($G$17:G108),IF(C109=B109,ROUND(((($F$12+1)^((D109-D108)/360))-1)*I108,2),""))</f>
        <v/>
      </c>
      <c r="H109" s="17" t="str">
        <f>IF(C108=$F$10,SUM($H$17:H108),IF(C109=B109,IF(C109=$F$10,F109+G109,ROUND($I$16/VLOOKUP("Totales",$D$17:$K$116,8,FALSE),2)),""))</f>
        <v/>
      </c>
      <c r="I109" s="17" t="str">
        <f t="shared" si="5"/>
        <v/>
      </c>
      <c r="J109" s="17"/>
      <c r="K109" s="25" t="str">
        <f>IF(C108=$F$10,SUM($K$17:K108),IF(C109=B109,1/((1+$F$13)^SUM($E$17:E109)),""))</f>
        <v/>
      </c>
    </row>
    <row r="110" spans="2:11" x14ac:dyDescent="0.25">
      <c r="B110" s="18">
        <v>94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IF(C109=$F$10,SUM($F$17:F109),IF(C110=B110,IF(C110=$F$10,I109,ROUND(H110-G110,2)),""))</f>
        <v/>
      </c>
      <c r="G110" s="17" t="str">
        <f>IF(C109=$F$10,SUM($G$17:G109),IF(C110=B110,ROUND(((($F$12+1)^((D110-D109)/360))-1)*I109,2),""))</f>
        <v/>
      </c>
      <c r="H110" s="17" t="str">
        <f>IF(C109=$F$10,SUM($H$17:H109),IF(C110=B110,IF(C110=$F$10,F110+G110,ROUND($I$16/VLOOKUP("Totales",$D$17:$K$116,8,FALSE),2)),""))</f>
        <v/>
      </c>
      <c r="I110" s="17" t="str">
        <f t="shared" si="5"/>
        <v/>
      </c>
      <c r="J110" s="17"/>
      <c r="K110" s="25" t="str">
        <f>IF(C109=$F$10,SUM($K$17:K109),IF(C110=B110,1/((1+$F$13)^SUM($E$17:E110)),""))</f>
        <v/>
      </c>
    </row>
    <row r="111" spans="2:11" x14ac:dyDescent="0.25">
      <c r="B111" s="18">
        <v>95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IF(C110=$F$10,SUM($F$17:F110),IF(C111=B111,IF(C111=$F$10,I110,ROUND(H111-G111,2)),""))</f>
        <v/>
      </c>
      <c r="G111" s="17" t="str">
        <f>IF(C110=$F$10,SUM($G$17:G110),IF(C111=B111,ROUND(((($F$12+1)^((D111-D110)/360))-1)*I110,2),""))</f>
        <v/>
      </c>
      <c r="H111" s="17" t="str">
        <f>IF(C110=$F$10,SUM($H$17:H110),IF(C111=B111,IF(C111=$F$10,F111+G111,ROUND($I$16/VLOOKUP("Totales",$D$17:$K$116,8,FALSE),2)),""))</f>
        <v/>
      </c>
      <c r="I111" s="17" t="str">
        <f t="shared" si="5"/>
        <v/>
      </c>
      <c r="J111" s="17"/>
      <c r="K111" s="25" t="str">
        <f>IF(C110=$F$10,SUM($K$17:K110),IF(C111=B111,1/((1+$F$13)^SUM($E$17:E111)),""))</f>
        <v/>
      </c>
    </row>
    <row r="112" spans="2:11" x14ac:dyDescent="0.25">
      <c r="B112" s="18">
        <v>96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IF(C111=$F$10,SUM($F$17:F111),IF(C112=B112,IF(C112=$F$10,I111,ROUND(H112-G112,2)),""))</f>
        <v/>
      </c>
      <c r="G112" s="17" t="str">
        <f>IF(C111=$F$10,SUM($G$17:G111),IF(C112=B112,ROUND(((($F$12+1)^((D112-D111)/360))-1)*I111,2),""))</f>
        <v/>
      </c>
      <c r="H112" s="17" t="str">
        <f>IF(C111=$F$10,SUM($H$17:H111),IF(C112=B112,IF(C112=$F$10,F112+G112,ROUND($I$16/VLOOKUP("Totales",$D$17:$K$116,8,FALSE),2)),""))</f>
        <v/>
      </c>
      <c r="I112" s="17" t="str">
        <f t="shared" si="5"/>
        <v/>
      </c>
      <c r="J112" s="17"/>
      <c r="K112" s="25" t="str">
        <f>IF(C111=$F$10,SUM($K$17:K111),IF(C112=B112,1/((1+$F$13)^SUM($E$17:E112)),""))</f>
        <v/>
      </c>
    </row>
    <row r="113" spans="2:11" x14ac:dyDescent="0.25">
      <c r="B113" s="18">
        <v>97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IF(C112=$F$10,SUM($F$17:F112),IF(C113=B113,IF(C113=$F$10,I112,ROUND(H113-G113,2)),""))</f>
        <v/>
      </c>
      <c r="G113" s="17" t="str">
        <f>IF(C112=$F$10,SUM($G$17:G112),IF(C113=B113,ROUND(((($F$12+1)^((D113-D112)/360))-1)*I112,2),""))</f>
        <v/>
      </c>
      <c r="H113" s="17" t="str">
        <f>IF(C112=$F$10,SUM($H$17:H112),IF(C113=B113,IF(C113=$F$10,F113+G113,ROUND($I$16/VLOOKUP("Totales",$D$17:$K$116,8,FALSE),2)),""))</f>
        <v/>
      </c>
      <c r="I113" s="17" t="str">
        <f t="shared" si="5"/>
        <v/>
      </c>
      <c r="J113" s="17"/>
      <c r="K113" s="25" t="str">
        <f>IF(C112=$F$10,SUM($K$17:K112),IF(C113=B113,1/((1+$F$13)^SUM($E$17:E113)),""))</f>
        <v/>
      </c>
    </row>
    <row r="114" spans="2:11" x14ac:dyDescent="0.25">
      <c r="B114" s="18">
        <v>98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IF(C113=$F$10,SUM($F$17:F113),IF(C114=B114,IF(C114=$F$10,I113,ROUND(H114-G114,2)),""))</f>
        <v/>
      </c>
      <c r="G114" s="17" t="str">
        <f>IF(C113=$F$10,SUM($G$17:G113),IF(C114=B114,ROUND(((($F$12+1)^((D114-D113)/360))-1)*I113,2),""))</f>
        <v/>
      </c>
      <c r="H114" s="17" t="str">
        <f>IF(C113=$F$10,SUM($H$17:H113),IF(C114=B114,IF(C114=$F$10,F114+G114,ROUND($I$16/VLOOKUP("Totales",$D$17:$K$116,8,FALSE),2)),""))</f>
        <v/>
      </c>
      <c r="I114" s="17" t="str">
        <f t="shared" si="5"/>
        <v/>
      </c>
      <c r="J114" s="17"/>
      <c r="K114" s="25" t="str">
        <f>IF(C113=$F$10,SUM($K$17:K113),IF(C114=B114,1/((1+$F$13)^SUM($E$17:E114)),""))</f>
        <v/>
      </c>
    </row>
    <row r="115" spans="2:11" x14ac:dyDescent="0.25">
      <c r="B115" s="18">
        <v>99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IF(C114=$F$10,SUM($F$17:F114),IF(C115=B115,IF(C115=$F$10,I114,ROUND(H115-G115,2)),""))</f>
        <v/>
      </c>
      <c r="G115" s="17" t="str">
        <f>IF(C114=$F$10,SUM($G$17:G114),IF(C115=B115,ROUND(((($F$12+1)^((D115-D114)/360))-1)*I114,2),""))</f>
        <v/>
      </c>
      <c r="H115" s="17" t="str">
        <f>IF(C114=$F$10,SUM($H$17:H114),IF(C115=B115,IF(C115=$F$10,F115+G115,ROUND($I$16/VLOOKUP("Totales",$D$17:$K$116,8,FALSE),2)),""))</f>
        <v/>
      </c>
      <c r="I115" s="17" t="str">
        <f t="shared" si="5"/>
        <v/>
      </c>
      <c r="J115" s="17"/>
      <c r="K115" s="25" t="str">
        <f>IF(C114=$F$10,SUM($K$17:K114),IF(C115=B115,1/((1+$F$13)^SUM($E$17:E115)),""))</f>
        <v/>
      </c>
    </row>
    <row r="116" spans="2:11" x14ac:dyDescent="0.25">
      <c r="B116" s="18">
        <v>100</v>
      </c>
      <c r="C116" s="19" t="str">
        <f t="shared" si="6"/>
        <v/>
      </c>
      <c r="D116" s="20" t="str">
        <f t="shared" ref="D116" si="8">IF(C115=$F$10,"Totales",IF(B116&lt;=$F$10,DATE(IF(MONTH(D115)=12,YEAR(D115)+1,YEAR(D115)),IF(MONTH(D115)=12,1,MONTH(D115)+1),10),""))</f>
        <v/>
      </c>
      <c r="E116" s="23" t="str">
        <f t="shared" si="4"/>
        <v/>
      </c>
      <c r="F116" s="17" t="str">
        <f>IF(C115=$F$10,SUM($F$17:F115),IF(C116=B116,IF(C116=$F$10,I115,ROUND(H116-G116,2)),""))</f>
        <v/>
      </c>
      <c r="G116" s="17" t="str">
        <f>IF(C115=$F$10,SUM($G$17:G115),IF(C116=B116,ROUND(((($F$12+1)^((D116-D115)/360))-1)*I115,2),""))</f>
        <v/>
      </c>
      <c r="H116" s="17" t="str">
        <f>IF(C115=$F$10,SUM($H$17:H115),IF(C116=B116,IF(C116=$F$10,F116+G116,ROUND($I$16/VLOOKUP("Totales",$D$17:$K$116,8,FALSE),2)),""))</f>
        <v/>
      </c>
      <c r="I116" s="17" t="str">
        <f t="shared" si="5"/>
        <v/>
      </c>
      <c r="J116" s="17"/>
      <c r="K116" s="25" t="str">
        <f>IF(C115=$F$10,SUM($K$17:K115),IF(C116=B116,1/((1+$F$13)^SUM($E$17:E116)),""))</f>
        <v/>
      </c>
    </row>
    <row r="117" spans="2:11" x14ac:dyDescent="0.25">
      <c r="B117" s="18"/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</sheetData>
  <sheetProtection algorithmName="SHA-512" hashValue="HooRnYx3BR17QL1lf5CdlaGO1GFzQWEPyvIqMu69EG8v57b58yp/aDLM/7VniHgm5YtlJUphB4ydbC6cs7H/Xg==" saltValue="WilE0pGyy8PUfXzdn/AR7Q==" spinCount="100000" sheet="1" selectLockedCells="1"/>
  <mergeCells count="11">
    <mergeCell ref="C1:I1"/>
    <mergeCell ref="C2:I2"/>
    <mergeCell ref="F11:I11"/>
    <mergeCell ref="F12:I12"/>
    <mergeCell ref="F13:I13"/>
    <mergeCell ref="C5:F5"/>
    <mergeCell ref="C6:F6"/>
    <mergeCell ref="C7:I7"/>
    <mergeCell ref="C8:I8"/>
    <mergeCell ref="F9:I9"/>
    <mergeCell ref="F10:I10"/>
  </mergeCells>
  <conditionalFormatting sqref="J15 L65:M67 C116:K116 F9:F10 C105:C115 E105:K115">
    <cfRule type="cellIs" dxfId="21" priority="3" stopIfTrue="1" operator="notEqual">
      <formula>""</formula>
    </cfRule>
  </conditionalFormatting>
  <conditionalFormatting sqref="J17:J64 K17:K104 C16:I17 C18:C104 E18:I64 E65:J104 D18:D115">
    <cfRule type="cellIs" dxfId="20" priority="2" stopIfTrue="1" operator="notEqual">
      <formula>""</formula>
    </cfRule>
  </conditionalFormatting>
  <conditionalFormatting sqref="F11">
    <cfRule type="cellIs" dxfId="19" priority="1" stopIfTrue="1" operator="notEqual">
      <formula>""</formula>
    </cfRule>
  </conditionalFormatting>
  <dataValidations count="1">
    <dataValidation type="list" allowBlank="1" showInputMessage="1" showErrorMessage="1" errorTitle="PÑPÑ" error="ZXCB" sqref="C7:I7" xr:uid="{00000000-0002-0000-0100-000000000000}">
      <formula1>$K$3:$K$4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8"/>
  <sheetViews>
    <sheetView showGridLines="0" topLeftCell="B1" zoomScale="80" zoomScaleNormal="80" zoomScaleSheetLayoutView="100" workbookViewId="0">
      <selection activeCell="F10" sqref="F10:I10"/>
    </sheetView>
  </sheetViews>
  <sheetFormatPr baseColWidth="10" defaultColWidth="11.453125" defaultRowHeight="12.5" x14ac:dyDescent="0.25"/>
  <cols>
    <col min="1" max="1" width="0" style="1" hidden="1" customWidth="1"/>
    <col min="2" max="2" width="3.1796875" style="1" bestFit="1" customWidth="1"/>
    <col min="3" max="3" width="9.7265625" style="1" customWidth="1"/>
    <col min="4" max="4" width="14.453125" style="1" customWidth="1"/>
    <col min="5" max="5" width="10.54296875" style="1" hidden="1" customWidth="1"/>
    <col min="6" max="9" width="18.726562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2:15" ht="41.25" customHeight="1" x14ac:dyDescent="0.25">
      <c r="C1" s="68" t="s">
        <v>22</v>
      </c>
      <c r="D1" s="68"/>
      <c r="E1" s="68"/>
      <c r="F1" s="68"/>
      <c r="G1" s="68"/>
      <c r="H1" s="68"/>
      <c r="I1" s="68"/>
    </row>
    <row r="2" spans="2:15" ht="15" customHeight="1" x14ac:dyDescent="0.25"/>
    <row r="3" spans="2:15" ht="12" customHeight="1" x14ac:dyDescent="0.3">
      <c r="C3" s="3" t="s">
        <v>20</v>
      </c>
      <c r="K3" s="1" t="s">
        <v>0</v>
      </c>
    </row>
    <row r="4" spans="2:15" ht="7.5" customHeight="1" x14ac:dyDescent="0.25">
      <c r="K4" s="1" t="s">
        <v>1</v>
      </c>
    </row>
    <row r="5" spans="2:15" s="40" customFormat="1" ht="7.5" customHeight="1" x14ac:dyDescent="0.25">
      <c r="C5" s="54" t="str">
        <f>IF((D16+SUM(E17:E116))&gt;46387,"No cumple condición crediticia:","")</f>
        <v/>
      </c>
      <c r="D5" s="54"/>
      <c r="E5" s="54"/>
      <c r="F5" s="54"/>
    </row>
    <row r="6" spans="2:15" s="40" customFormat="1" ht="3.75" customHeight="1" x14ac:dyDescent="0.25">
      <c r="C6" s="55" t="str">
        <f>IF(C5="No cumple condición crediticia:","Reducir plazo del préstamo","")</f>
        <v/>
      </c>
      <c r="D6" s="55"/>
      <c r="E6" s="55"/>
      <c r="F6" s="55"/>
    </row>
    <row r="7" spans="2:15" ht="13.5" customHeight="1" x14ac:dyDescent="0.25">
      <c r="C7" s="56" t="s">
        <v>0</v>
      </c>
      <c r="D7" s="57"/>
      <c r="E7" s="57"/>
      <c r="F7" s="57"/>
      <c r="G7" s="57"/>
      <c r="H7" s="57"/>
      <c r="I7" s="58"/>
    </row>
    <row r="8" spans="2:15" s="4" customFormat="1" ht="12.75" customHeight="1" x14ac:dyDescent="0.25">
      <c r="C8" s="59" t="s">
        <v>2</v>
      </c>
      <c r="D8" s="60"/>
      <c r="E8" s="60"/>
      <c r="F8" s="60"/>
      <c r="G8" s="60"/>
      <c r="H8" s="60"/>
      <c r="I8" s="60"/>
      <c r="J8" s="1"/>
      <c r="N8" s="1"/>
      <c r="O8" s="1"/>
    </row>
    <row r="9" spans="2:15" ht="15" customHeight="1" x14ac:dyDescent="0.25">
      <c r="C9" s="5" t="s">
        <v>3</v>
      </c>
      <c r="D9" s="6"/>
      <c r="E9" s="7"/>
      <c r="F9" s="61">
        <v>3000000</v>
      </c>
      <c r="G9" s="62"/>
      <c r="H9" s="62"/>
      <c r="I9" s="63"/>
      <c r="J9" s="8"/>
      <c r="K9" s="4"/>
      <c r="L9" s="9" t="s">
        <v>4</v>
      </c>
      <c r="M9" s="10" t="s">
        <v>5</v>
      </c>
    </row>
    <row r="10" spans="2:15" ht="15" customHeight="1" x14ac:dyDescent="0.25">
      <c r="C10" s="5" t="s">
        <v>6</v>
      </c>
      <c r="D10" s="6"/>
      <c r="E10" s="7"/>
      <c r="F10" s="64">
        <v>44</v>
      </c>
      <c r="G10" s="65"/>
      <c r="H10" s="65"/>
      <c r="I10" s="66"/>
      <c r="J10" s="8"/>
      <c r="K10" s="11">
        <f>IF($C$7="GOBIERNOS LOCALES",M10,L10)</f>
        <v>8.2500000000000004E-2</v>
      </c>
      <c r="L10" s="12">
        <f>IF($F$9&gt;1000000,7.75%,8.75%)</f>
        <v>7.7499999999999999E-2</v>
      </c>
      <c r="M10" s="12">
        <f>IF($F$9&gt;1000000,8.25%,9.25%)</f>
        <v>8.2500000000000004E-2</v>
      </c>
    </row>
    <row r="11" spans="2:15" ht="15" customHeight="1" x14ac:dyDescent="0.25">
      <c r="C11" s="5" t="s">
        <v>7</v>
      </c>
      <c r="D11" s="6"/>
      <c r="E11" s="7"/>
      <c r="F11" s="45">
        <v>45037</v>
      </c>
      <c r="G11" s="46"/>
      <c r="H11" s="46"/>
      <c r="I11" s="47"/>
      <c r="J11" s="13"/>
      <c r="K11" s="11">
        <f>IF($C$7="GOBIERNOS LOCALES",M11,L11)</f>
        <v>9.2499999999999999E-2</v>
      </c>
      <c r="L11" s="12">
        <f>IF($F$9&gt;1000000,8.25%,9.25%)</f>
        <v>8.2500000000000004E-2</v>
      </c>
      <c r="M11" s="12">
        <f>IF($F$9&gt;1000000,9.25%,10.25%)</f>
        <v>9.2499999999999999E-2</v>
      </c>
    </row>
    <row r="12" spans="2:15" x14ac:dyDescent="0.25">
      <c r="C12" s="5" t="s">
        <v>8</v>
      </c>
      <c r="D12" s="6"/>
      <c r="E12" s="7"/>
      <c r="F12" s="48">
        <f>IF(AND(F10&gt;=1,F10&lt;=12),K10,IF(AND(F10&lt;=24,F10&gt;12),K11,IF(AND(F10&lt;=36,F10&gt;24),K12,IF(AND(F10&lt;=60,F10&gt;36),K13,"No aplicable"))))</f>
        <v>0.1275</v>
      </c>
      <c r="G12" s="49"/>
      <c r="H12" s="49"/>
      <c r="I12" s="50"/>
      <c r="J12" s="14"/>
      <c r="K12" s="11">
        <f>IF($C$7="GOBIERNOS LOCALES",M12,L12)</f>
        <v>0.10249999999999999</v>
      </c>
      <c r="L12" s="12">
        <f>IF($F$9&gt;1000000,9.25%,10.25%)</f>
        <v>9.2499999999999999E-2</v>
      </c>
      <c r="M12" s="12">
        <f>IF($F$9&gt;1000000,10.25%,11.25%)</f>
        <v>0.10249999999999999</v>
      </c>
    </row>
    <row r="13" spans="2:15" hidden="1" x14ac:dyDescent="0.25">
      <c r="C13" s="5" t="s">
        <v>9</v>
      </c>
      <c r="D13" s="6"/>
      <c r="E13" s="7"/>
      <c r="F13" s="51">
        <f>((F12+1)^(1/360))-1</f>
        <v>3.3339665430021093E-4</v>
      </c>
      <c r="G13" s="52"/>
      <c r="H13" s="52"/>
      <c r="I13" s="53"/>
      <c r="K13" s="11">
        <f>IF($C$7="GOBIERNOS LOCALES",M13,L13)</f>
        <v>0.1275</v>
      </c>
      <c r="L13" s="12">
        <f>IF($F$9&gt;1000000,11.75%,12.75%)</f>
        <v>0.11749999999999999</v>
      </c>
      <c r="M13" s="12">
        <f>IF($F$9&gt;1000000,12.75%,13.75%)</f>
        <v>0.1275</v>
      </c>
    </row>
    <row r="14" spans="2:15" ht="9.75" customHeight="1" x14ac:dyDescent="0.25">
      <c r="I14" s="15"/>
    </row>
    <row r="15" spans="2:15" x14ac:dyDescent="0.25">
      <c r="C15" s="16" t="s">
        <v>10</v>
      </c>
      <c r="D15" s="16" t="s">
        <v>11</v>
      </c>
      <c r="E15" s="16" t="s">
        <v>12</v>
      </c>
      <c r="F15" s="16" t="s">
        <v>13</v>
      </c>
      <c r="G15" s="16" t="s">
        <v>14</v>
      </c>
      <c r="H15" s="16" t="s">
        <v>15</v>
      </c>
      <c r="I15" s="16" t="s">
        <v>16</v>
      </c>
      <c r="J15" s="17"/>
      <c r="K15" s="16" t="s">
        <v>9</v>
      </c>
    </row>
    <row r="16" spans="2:15" x14ac:dyDescent="0.25">
      <c r="B16" s="18">
        <v>0</v>
      </c>
      <c r="C16" s="19">
        <v>0</v>
      </c>
      <c r="D16" s="20">
        <f>+F11</f>
        <v>45037</v>
      </c>
      <c r="E16" s="20"/>
      <c r="F16" s="21">
        <v>0</v>
      </c>
      <c r="G16" s="21">
        <v>0</v>
      </c>
      <c r="H16" s="21">
        <v>0</v>
      </c>
      <c r="I16" s="17">
        <f>+F9</f>
        <v>3000000</v>
      </c>
      <c r="K16" s="22"/>
    </row>
    <row r="17" spans="2:13" x14ac:dyDescent="0.25">
      <c r="B17" s="18">
        <v>1</v>
      </c>
      <c r="C17" s="19">
        <f>IF(B17&lt;=$F$10,B17,"")</f>
        <v>1</v>
      </c>
      <c r="D17" s="20">
        <f>IF(C16=$F$10,"Totales",IF(B17&lt;=$F$10,DATE(IF(MONTH(D16)=12,YEAR(D16)+1,YEAR(D16)),IF(MONTH(D16)=12,1,IF(DAY(D16)&lt;10,MONTH(D16),MONTH(D16)+1)),28),""))</f>
        <v>45074</v>
      </c>
      <c r="E17" s="23">
        <f t="shared" ref="E17:E62" si="0">IF(C17=B17,D17-D16,"")</f>
        <v>37</v>
      </c>
      <c r="F17" s="17">
        <f>IF(C16=$F$10,SUM($F16:F$17),IF(C17=B17,IF(C17=$F$10,I16,ROUND(H17-G17,2)),""))</f>
        <v>47949.2</v>
      </c>
      <c r="G17" s="17">
        <f>IF(C16=$F$10,SUM($G16:G$17),IF(C17=B17,ROUND(((($F$12+1)^((D17-D16)/360))-1)*I16,2),""))</f>
        <v>37229.980000000003</v>
      </c>
      <c r="H17" s="17">
        <f>IF(C16=$F$10,SUM($H16:H$17),IF(C17=B17,IF(C17=$F$10,F17+G17,ROUND($I$16/VLOOKUP("Totales",$D$17:$K$116,8,FALSE),2)),""))</f>
        <v>85179.18</v>
      </c>
      <c r="I17" s="17">
        <f>IF(C17=B17,ROUND(I16-F17,2),"")</f>
        <v>2952050.8</v>
      </c>
      <c r="J17" s="24"/>
      <c r="K17" s="25">
        <f>IF(C16=$F$10,SUM($K16:K$17),IF(C17=B17,1/((1+$F$13)^SUM($E$17:E17)),""))</f>
        <v>0.98774212703288089</v>
      </c>
      <c r="L17" s="26"/>
      <c r="M17" s="26"/>
    </row>
    <row r="18" spans="2:13" x14ac:dyDescent="0.25">
      <c r="B18" s="18">
        <v>2</v>
      </c>
      <c r="C18" s="19">
        <f t="shared" ref="C18:C81" si="1">IF(B18&lt;=$F$10,B18,"")</f>
        <v>2</v>
      </c>
      <c r="D18" s="20">
        <f t="shared" ref="D18:D81" si="2">IF(C17=$F$10,"Totales",IF(B18&lt;=$F$10,DATE(IF(MONTH(D17)=12,YEAR(D17)+1,YEAR(D17)),IF(MONTH(D17)=12,1,IF(DAY(D17)&lt;10,MONTH(D17),MONTH(D17)+1)),28),""))</f>
        <v>45105</v>
      </c>
      <c r="E18" s="23">
        <f t="shared" si="0"/>
        <v>31</v>
      </c>
      <c r="F18" s="17">
        <f>IF(C17=$F$10,SUM($F$17:F17),IF(C18=B18,IF(C18=$F$10,I17,ROUND(H18-G18,2)),""))</f>
        <v>54515.79</v>
      </c>
      <c r="G18" s="17">
        <f>IF(C17=$F$10,SUM($G$17:G17),IF(C18=B18,ROUND(((($F$12+1)^((D18-D17)/360))-1)*I17,2),""))</f>
        <v>30663.39</v>
      </c>
      <c r="H18" s="17">
        <f>IF(C17=$F$10,SUM($H17:H$17),IF(C18=B18,IF(C18=$F$10,F18+G18,ROUND($I$16/VLOOKUP("Totales",$D$17:$K$116,8,FALSE),2)),""))</f>
        <v>85179.18</v>
      </c>
      <c r="I18" s="17">
        <f t="shared" ref="I18:I65" si="3">IF(C18=B18,ROUND(I17-F18,2),"")</f>
        <v>2897535.01</v>
      </c>
      <c r="J18" s="24"/>
      <c r="K18" s="25">
        <f>IF(C17=$F$10,SUM($K$17:K17),IF(C18=B18,1/((1+$F$13)^SUM($E$17:E18)),""))</f>
        <v>0.97758777660183449</v>
      </c>
      <c r="L18" s="26"/>
    </row>
    <row r="19" spans="2:13" x14ac:dyDescent="0.25">
      <c r="B19" s="18">
        <v>3</v>
      </c>
      <c r="C19" s="19">
        <f t="shared" si="1"/>
        <v>3</v>
      </c>
      <c r="D19" s="20">
        <f t="shared" si="2"/>
        <v>45135</v>
      </c>
      <c r="E19" s="23">
        <f t="shared" si="0"/>
        <v>30</v>
      </c>
      <c r="F19" s="17">
        <f>IF(C18=$F$10,SUM($F$17:F18),IF(C19=B19,IF(C19=$F$10,I18,ROUND(H19-G19,2)),""))</f>
        <v>56057.79</v>
      </c>
      <c r="G19" s="17">
        <f>IF(C18=$F$10,SUM($G$17:G18),IF(C19=B19,ROUND(((($F$12+1)^((D19-D18)/360))-1)*I18,2),""))</f>
        <v>29121.39</v>
      </c>
      <c r="H19" s="17">
        <f>IF(C18=$F$10,SUM($H$17:H18),IF(C19=B19,IF(C19=$F$10,F19+G19,ROUND($I$16/VLOOKUP("Totales",$D$17:$K$116,8,FALSE),2)),""))</f>
        <v>85179.18</v>
      </c>
      <c r="I19" s="17">
        <f t="shared" si="3"/>
        <v>2841477.22</v>
      </c>
      <c r="J19" s="24"/>
      <c r="K19" s="25">
        <f>IF(C18=$F$10,SUM($K$17:K18),IF(C19=B19,1/((1+$F$13)^SUM($E$17:E19)),""))</f>
        <v>0.96786039047915151</v>
      </c>
      <c r="L19" s="26"/>
    </row>
    <row r="20" spans="2:13" x14ac:dyDescent="0.25">
      <c r="B20" s="18">
        <v>4</v>
      </c>
      <c r="C20" s="19">
        <f t="shared" si="1"/>
        <v>4</v>
      </c>
      <c r="D20" s="20">
        <f t="shared" si="2"/>
        <v>45166</v>
      </c>
      <c r="E20" s="23">
        <f t="shared" si="0"/>
        <v>31</v>
      </c>
      <c r="F20" s="17">
        <f>IF(C19=$F$10,SUM($F$17:F19),IF(C20=B20,IF(C20=$F$10,I19,ROUND(H20-G20,2)),""))</f>
        <v>55664.33</v>
      </c>
      <c r="G20" s="17">
        <f>IF(C19=$F$10,SUM($G$17:G19),IF(C20=B20,ROUND(((($F$12+1)^((D20-D19)/360))-1)*I19,2),""))</f>
        <v>29514.85</v>
      </c>
      <c r="H20" s="17">
        <f>IF(C19=$F$10,SUM($H$17:H19),IF(C20=B20,IF(C20=$F$10,F20+G20,ROUND($I$16/VLOOKUP("Totales",$D$17:$K$116,8,FALSE),2)),""))</f>
        <v>85179.18</v>
      </c>
      <c r="I20" s="17">
        <f t="shared" si="3"/>
        <v>2785812.89</v>
      </c>
      <c r="J20" s="24"/>
      <c r="K20" s="25">
        <f>IF(C19=$F$10,SUM($K$17:K19),IF(C20=B20,1/((1+$F$13)^SUM($E$17:E20)),""))</f>
        <v>0.95791043157360456</v>
      </c>
      <c r="L20" s="26"/>
    </row>
    <row r="21" spans="2:13" x14ac:dyDescent="0.25">
      <c r="B21" s="18">
        <v>5</v>
      </c>
      <c r="C21" s="19">
        <f t="shared" si="1"/>
        <v>5</v>
      </c>
      <c r="D21" s="20">
        <f t="shared" si="2"/>
        <v>45197</v>
      </c>
      <c r="E21" s="23">
        <f t="shared" si="0"/>
        <v>31</v>
      </c>
      <c r="F21" s="17">
        <f>IF(C20=$F$10,SUM($F$17:F20),IF(C21=B21,IF(C21=$F$10,I20,ROUND(H21-G21,2)),""))</f>
        <v>56242.52</v>
      </c>
      <c r="G21" s="17">
        <f>IF(C20=$F$10,SUM($G$17:G20),IF(C21=B21,ROUND(((($F$12+1)^((D21-D20)/360))-1)*I20,2),""))</f>
        <v>28936.66</v>
      </c>
      <c r="H21" s="17">
        <f>IF(C20=$F$10,SUM($H$17:H20),IF(C21=B21,IF(C21=$F$10,F21+G21,ROUND($I$16/VLOOKUP("Totales",$D$17:$K$116,8,FALSE),2)),""))</f>
        <v>85179.18</v>
      </c>
      <c r="I21" s="17">
        <f t="shared" si="3"/>
        <v>2729570.37</v>
      </c>
      <c r="J21" s="24"/>
      <c r="K21" s="25">
        <f>IF(C20=$F$10,SUM($K$17:K20),IF(C21=B21,1/((1+$F$13)^SUM($E$17:E21)),""))</f>
        <v>0.94806276188579597</v>
      </c>
      <c r="L21" s="26"/>
    </row>
    <row r="22" spans="2:13" x14ac:dyDescent="0.25">
      <c r="B22" s="18">
        <v>6</v>
      </c>
      <c r="C22" s="19">
        <f t="shared" si="1"/>
        <v>6</v>
      </c>
      <c r="D22" s="20">
        <f t="shared" si="2"/>
        <v>45227</v>
      </c>
      <c r="E22" s="23">
        <f t="shared" si="0"/>
        <v>30</v>
      </c>
      <c r="F22" s="17">
        <f>IF(C21=$F$10,SUM($F$17:F21),IF(C22=B22,IF(C22=$F$10,I21,ROUND(H22-G22,2)),""))</f>
        <v>57745.9</v>
      </c>
      <c r="G22" s="17">
        <f>IF(C21=$F$10,SUM($G$17:G21),IF(C22=B22,ROUND(((($F$12+1)^((D22-D21)/360))-1)*I21,2),""))</f>
        <v>27433.279999999999</v>
      </c>
      <c r="H22" s="17">
        <f>IF(C21=$F$10,SUM($H$17:H21),IF(C22=B22,IF(C22=$F$10,F22+G22,ROUND($I$16/VLOOKUP("Totales",$D$17:$K$116,8,FALSE),2)),""))</f>
        <v>85179.18</v>
      </c>
      <c r="I22" s="17">
        <f t="shared" si="3"/>
        <v>2671824.4700000002</v>
      </c>
      <c r="J22" s="24"/>
      <c r="K22" s="25">
        <f>IF(C21=$F$10,SUM($K$17:K21),IF(C22=B22,1/((1+$F$13)^SUM($E$17:E22)),""))</f>
        <v>0.93862916137019048</v>
      </c>
      <c r="L22" s="26"/>
    </row>
    <row r="23" spans="2:13" x14ac:dyDescent="0.25">
      <c r="B23" s="18">
        <v>7</v>
      </c>
      <c r="C23" s="19">
        <f t="shared" si="1"/>
        <v>7</v>
      </c>
      <c r="D23" s="20">
        <f t="shared" si="2"/>
        <v>45258</v>
      </c>
      <c r="E23" s="23">
        <f t="shared" si="0"/>
        <v>31</v>
      </c>
      <c r="F23" s="17">
        <f>IF(C22=$F$10,SUM($F$17:F22),IF(C23=B23,IF(C23=$F$10,I22,ROUND(H23-G23,2)),""))</f>
        <v>57426.54</v>
      </c>
      <c r="G23" s="17">
        <f>IF(C22=$F$10,SUM($G$17:G22),IF(C23=B23,ROUND(((($F$12+1)^((D23-D22)/360))-1)*I22,2),""))</f>
        <v>27752.639999999999</v>
      </c>
      <c r="H23" s="17">
        <f>IF(C22=$F$10,SUM($H$17:H22),IF(C23=B23,IF(C23=$F$10,F23+G23,ROUND($I$16/VLOOKUP("Totales",$D$17:$K$116,8,FALSE),2)),""))</f>
        <v>85179.18</v>
      </c>
      <c r="I23" s="17">
        <f t="shared" si="3"/>
        <v>2614397.9300000002</v>
      </c>
      <c r="J23" s="24"/>
      <c r="K23" s="25">
        <f>IF(C22=$F$10,SUM($K$17:K22),IF(C23=B23,1/((1+$F$13)^SUM($E$17:E23)),""))</f>
        <v>0.92897971019412007</v>
      </c>
      <c r="L23" s="26"/>
    </row>
    <row r="24" spans="2:13" x14ac:dyDescent="0.25">
      <c r="B24" s="18">
        <v>8</v>
      </c>
      <c r="C24" s="19">
        <f t="shared" si="1"/>
        <v>8</v>
      </c>
      <c r="D24" s="20">
        <f t="shared" si="2"/>
        <v>45288</v>
      </c>
      <c r="E24" s="23">
        <f t="shared" si="0"/>
        <v>30</v>
      </c>
      <c r="F24" s="17">
        <f>IF(C23=$F$10,SUM($F$17:F23),IF(C24=B24,IF(C24=$F$10,I23,ROUND(H24-G24,2)),""))</f>
        <v>58903.43</v>
      </c>
      <c r="G24" s="17">
        <f>IF(C23=$F$10,SUM($G$17:G23),IF(C24=B24,ROUND(((($F$12+1)^((D24-D23)/360))-1)*I23,2),""))</f>
        <v>26275.75</v>
      </c>
      <c r="H24" s="17">
        <f>IF(C23=$F$10,SUM($H$17:H23),IF(C24=B24,IF(C24=$F$10,F24+G24,ROUND($I$16/VLOOKUP("Totales",$D$17:$K$116,8,FALSE),2)),""))</f>
        <v>85179.18</v>
      </c>
      <c r="I24" s="17">
        <f t="shared" si="3"/>
        <v>2555494.5</v>
      </c>
      <c r="J24" s="24"/>
      <c r="K24" s="25">
        <f>IF(C23=$F$10,SUM($K$17:K23),IF(C24=B24,1/((1+$F$13)^SUM($E$17:E24)),""))</f>
        <v>0.91973599361185243</v>
      </c>
      <c r="L24" s="26"/>
    </row>
    <row r="25" spans="2:13" x14ac:dyDescent="0.25">
      <c r="B25" s="18">
        <v>9</v>
      </c>
      <c r="C25" s="19">
        <f t="shared" si="1"/>
        <v>9</v>
      </c>
      <c r="D25" s="20">
        <f t="shared" si="2"/>
        <v>45319</v>
      </c>
      <c r="E25" s="23">
        <f t="shared" si="0"/>
        <v>31</v>
      </c>
      <c r="F25" s="17">
        <f>IF(C24=$F$10,SUM($F$17:F24),IF(C25=B25,IF(C25=$F$10,I24,ROUND(H25-G25,2)),""))</f>
        <v>58634.879999999997</v>
      </c>
      <c r="G25" s="17">
        <f>IF(C24=$F$10,SUM($G$17:G24),IF(C25=B25,ROUND(((($F$12+1)^((D25-D24)/360))-1)*I24,2),""))</f>
        <v>26544.3</v>
      </c>
      <c r="H25" s="17">
        <f>IF(C24=$F$10,SUM($H$17:H24),IF(C25=B25,IF(C25=$F$10,F25+G25,ROUND($I$16/VLOOKUP("Totales",$D$17:$K$116,8,FALSE),2)),""))</f>
        <v>85179.18</v>
      </c>
      <c r="I25" s="17">
        <f t="shared" si="3"/>
        <v>2496859.62</v>
      </c>
      <c r="J25" s="24"/>
      <c r="K25" s="25">
        <f>IF(C24=$F$10,SUM($K$17:K24),IF(C25=B25,1/((1+$F$13)^SUM($E$17:E25)),""))</f>
        <v>0.91028077111239669</v>
      </c>
      <c r="L25" s="26"/>
    </row>
    <row r="26" spans="2:13" x14ac:dyDescent="0.25">
      <c r="B26" s="18">
        <v>10</v>
      </c>
      <c r="C26" s="19">
        <f t="shared" si="1"/>
        <v>10</v>
      </c>
      <c r="D26" s="20">
        <f t="shared" si="2"/>
        <v>45350</v>
      </c>
      <c r="E26" s="23">
        <f t="shared" si="0"/>
        <v>31</v>
      </c>
      <c r="F26" s="17">
        <f>IF(C25=$F$10,SUM($F$17:F25),IF(C26=B26,IF(C26=$F$10,I25,ROUND(H26-G26,2)),""))</f>
        <v>59243.93</v>
      </c>
      <c r="G26" s="17">
        <f>IF(C25=$F$10,SUM($G$17:G25),IF(C26=B26,ROUND(((($F$12+1)^((D26-D25)/360))-1)*I25,2),""))</f>
        <v>25935.25</v>
      </c>
      <c r="H26" s="17">
        <f>IF(C25=$F$10,SUM($H$17:H25),IF(C26=B26,IF(C26=$F$10,F26+G26,ROUND($I$16/VLOOKUP("Totales",$D$17:$K$116,8,FALSE),2)),""))</f>
        <v>85179.18</v>
      </c>
      <c r="I26" s="17">
        <f t="shared" si="3"/>
        <v>2437615.69</v>
      </c>
      <c r="J26" s="24"/>
      <c r="K26" s="25">
        <f>IF(C25=$F$10,SUM($K$17:K25),IF(C26=B26,1/((1+$F$13)^SUM($E$17:E26)),""))</f>
        <v>0.90092275175942593</v>
      </c>
      <c r="L26" s="26"/>
    </row>
    <row r="27" spans="2:13" x14ac:dyDescent="0.25">
      <c r="B27" s="18">
        <v>11</v>
      </c>
      <c r="C27" s="19">
        <f t="shared" si="1"/>
        <v>11</v>
      </c>
      <c r="D27" s="20">
        <f t="shared" si="2"/>
        <v>45379</v>
      </c>
      <c r="E27" s="23">
        <f t="shared" si="0"/>
        <v>29</v>
      </c>
      <c r="F27" s="17">
        <f>IF(C26=$F$10,SUM($F$17:F26),IF(C27=B27,IF(C27=$F$10,I26,ROUND(H27-G27,2)),""))</f>
        <v>61500.75</v>
      </c>
      <c r="G27" s="17">
        <f>IF(C26=$F$10,SUM($G$17:G26),IF(C27=B27,ROUND(((($F$12+1)^((D27-D26)/360))-1)*I26,2),""))</f>
        <v>23678.43</v>
      </c>
      <c r="H27" s="17">
        <f>IF(C26=$F$10,SUM($H$17:H26),IF(C27=B27,IF(C27=$F$10,F27+G27,ROUND($I$16/VLOOKUP("Totales",$D$17:$K$116,8,FALSE),2)),""))</f>
        <v>85179.18</v>
      </c>
      <c r="I27" s="17">
        <f t="shared" si="3"/>
        <v>2376114.94</v>
      </c>
      <c r="J27" s="24"/>
      <c r="K27" s="25">
        <f>IF(C26=$F$10,SUM($K$17:K26),IF(C27=B27,1/((1+$F$13)^SUM($E$17:E27)),""))</f>
        <v>0.89225558892595813</v>
      </c>
      <c r="L27" s="26"/>
    </row>
    <row r="28" spans="2:13" x14ac:dyDescent="0.25">
      <c r="B28" s="18">
        <v>12</v>
      </c>
      <c r="C28" s="19">
        <f t="shared" si="1"/>
        <v>12</v>
      </c>
      <c r="D28" s="20">
        <f t="shared" si="2"/>
        <v>45410</v>
      </c>
      <c r="E28" s="23">
        <f t="shared" si="0"/>
        <v>31</v>
      </c>
      <c r="F28" s="17">
        <f>IF(C27=$F$10,SUM($F$17:F27),IF(C28=B28,IF(C28=$F$10,I27,ROUND(H28-G28,2)),""))</f>
        <v>60498.12</v>
      </c>
      <c r="G28" s="17">
        <f>IF(C27=$F$10,SUM($G$17:G27),IF(C28=B28,ROUND(((($F$12+1)^((D28-D27)/360))-1)*I27,2),""))</f>
        <v>24681.06</v>
      </c>
      <c r="H28" s="17">
        <f>IF(C27=$F$10,SUM($H$17:H27),IF(C28=B28,IF(C28=$F$10,F28+G28,ROUND($I$16/VLOOKUP("Totales",$D$17:$K$116,8,FALSE),2)),""))</f>
        <v>85179.18</v>
      </c>
      <c r="I28" s="17">
        <f t="shared" si="3"/>
        <v>2315616.8199999998</v>
      </c>
      <c r="J28" s="24"/>
      <c r="K28" s="25">
        <f>IF(C27=$F$10,SUM($K$17:K27),IF(C28=B28,1/((1+$F$13)^SUM($E$17:E28)),""))</f>
        <v>0.8830828750403712</v>
      </c>
      <c r="L28" s="26"/>
    </row>
    <row r="29" spans="2:13" x14ac:dyDescent="0.25">
      <c r="B29" s="18">
        <v>13</v>
      </c>
      <c r="C29" s="19">
        <f t="shared" si="1"/>
        <v>13</v>
      </c>
      <c r="D29" s="20">
        <f t="shared" si="2"/>
        <v>45440</v>
      </c>
      <c r="E29" s="23">
        <f t="shared" si="0"/>
        <v>30</v>
      </c>
      <c r="F29" s="17">
        <f>IF(C28=$F$10,SUM($F$17:F28),IF(C29=B29,IF(C29=$F$10,I28,ROUND(H29-G29,2)),""))</f>
        <v>61906.3</v>
      </c>
      <c r="G29" s="17">
        <f>IF(C28=$F$10,SUM($G$17:G28),IF(C29=B29,ROUND(((($F$12+1)^((D29-D28)/360))-1)*I28,2),""))</f>
        <v>23272.880000000001</v>
      </c>
      <c r="H29" s="17">
        <f>IF(C28=$F$10,SUM($H$17:H28),IF(C29=B29,IF(C29=$F$10,F29+G29,ROUND($I$16/VLOOKUP("Totales",$D$17:$K$116,8,FALSE),2)),""))</f>
        <v>85179.18</v>
      </c>
      <c r="I29" s="17">
        <f t="shared" si="3"/>
        <v>2253710.52</v>
      </c>
      <c r="J29" s="24"/>
      <c r="K29" s="25">
        <f>IF(C28=$F$10,SUM($K$17:K28),IF(C29=B29,1/((1+$F$13)^SUM($E$17:E29)),""))</f>
        <v>0.87429585017217304</v>
      </c>
      <c r="L29" s="26"/>
    </row>
    <row r="30" spans="2:13" x14ac:dyDescent="0.25">
      <c r="B30" s="18">
        <v>14</v>
      </c>
      <c r="C30" s="19">
        <f t="shared" si="1"/>
        <v>14</v>
      </c>
      <c r="D30" s="20">
        <f t="shared" si="2"/>
        <v>45471</v>
      </c>
      <c r="E30" s="23">
        <f t="shared" si="0"/>
        <v>31</v>
      </c>
      <c r="F30" s="17">
        <f>IF(C29=$F$10,SUM($F$17:F29),IF(C30=B30,IF(C30=$F$10,I29,ROUND(H30-G30,2)),""))</f>
        <v>61769.55</v>
      </c>
      <c r="G30" s="17">
        <f>IF(C29=$F$10,SUM($G$17:G29),IF(C30=B30,ROUND(((($F$12+1)^((D30-D29)/360))-1)*I29,2),""))</f>
        <v>23409.63</v>
      </c>
      <c r="H30" s="17">
        <f>IF(C29=$F$10,SUM($H$17:H29),IF(C30=B30,IF(C30=$F$10,F30+G30,ROUND($I$16/VLOOKUP("Totales",$D$17:$K$116,8,FALSE),2)),""))</f>
        <v>85179.18</v>
      </c>
      <c r="I30" s="17">
        <f t="shared" si="3"/>
        <v>2191940.9700000002</v>
      </c>
      <c r="J30" s="24"/>
      <c r="K30" s="25">
        <f>IF(C29=$F$10,SUM($K$17:K29),IF(C30=B30,1/((1+$F$13)^SUM($E$17:E30)),""))</f>
        <v>0.86530776897153983</v>
      </c>
      <c r="L30" s="26"/>
    </row>
    <row r="31" spans="2:13" x14ac:dyDescent="0.25">
      <c r="B31" s="18">
        <v>15</v>
      </c>
      <c r="C31" s="19">
        <f t="shared" si="1"/>
        <v>15</v>
      </c>
      <c r="D31" s="20">
        <f t="shared" si="2"/>
        <v>45501</v>
      </c>
      <c r="E31" s="23">
        <f t="shared" si="0"/>
        <v>30</v>
      </c>
      <c r="F31" s="17">
        <f>IF(C30=$F$10,SUM($F$17:F30),IF(C31=B31,IF(C31=$F$10,I30,ROUND(H31-G31,2)),""))</f>
        <v>63149.29</v>
      </c>
      <c r="G31" s="17">
        <f>IF(C30=$F$10,SUM($G$17:G30),IF(C31=B31,ROUND(((($F$12+1)^((D31-D30)/360))-1)*I30,2),""))</f>
        <v>22029.89</v>
      </c>
      <c r="H31" s="17">
        <f>IF(C30=$F$10,SUM($H$17:H30),IF(C31=B31,IF(C31=$F$10,F31+G31,ROUND($I$16/VLOOKUP("Totales",$D$17:$K$116,8,FALSE),2)),""))</f>
        <v>85179.18</v>
      </c>
      <c r="I31" s="17">
        <f t="shared" si="3"/>
        <v>2128791.6800000002</v>
      </c>
      <c r="J31" s="17"/>
      <c r="K31" s="25">
        <f>IF(C30=$F$10,SUM($K$17:K30),IF(C31=B31,1/((1+$F$13)^SUM($E$17:E31)),""))</f>
        <v>0.8566976134589549</v>
      </c>
    </row>
    <row r="32" spans="2:13" x14ac:dyDescent="0.25">
      <c r="B32" s="18">
        <v>16</v>
      </c>
      <c r="C32" s="19">
        <f t="shared" si="1"/>
        <v>16</v>
      </c>
      <c r="D32" s="20">
        <f t="shared" si="2"/>
        <v>45532</v>
      </c>
      <c r="E32" s="23">
        <f t="shared" si="0"/>
        <v>31</v>
      </c>
      <c r="F32" s="17">
        <f>IF(C31=$F$10,SUM($F$17:F31),IF(C32=B32,IF(C32=$F$10,I31,ROUND(H32-G32,2)),""))</f>
        <v>63067.1</v>
      </c>
      <c r="G32" s="17">
        <f>IF(C31=$F$10,SUM($G$17:G31),IF(C32=B32,ROUND(((($F$12+1)^((D32-D31)/360))-1)*I31,2),""))</f>
        <v>22112.080000000002</v>
      </c>
      <c r="H32" s="17">
        <f>IF(C31=$F$10,SUM($H$17:H31),IF(C32=B32,IF(C32=$F$10,F32+G32,ROUND($I$16/VLOOKUP("Totales",$D$17:$K$116,8,FALSE),2)),""))</f>
        <v>85179.18</v>
      </c>
      <c r="I32" s="17">
        <f t="shared" si="3"/>
        <v>2065724.58</v>
      </c>
      <c r="J32" s="17"/>
      <c r="K32" s="25">
        <f>IF(C31=$F$10,SUM($K$17:K31),IF(C32=B32,1/((1+$F$13)^SUM($E$17:E32)),""))</f>
        <v>0.84789044857004292</v>
      </c>
    </row>
    <row r="33" spans="2:11" x14ac:dyDescent="0.25">
      <c r="B33" s="18">
        <v>17</v>
      </c>
      <c r="C33" s="19">
        <f t="shared" si="1"/>
        <v>17</v>
      </c>
      <c r="D33" s="20">
        <f t="shared" si="2"/>
        <v>45563</v>
      </c>
      <c r="E33" s="23">
        <f t="shared" si="0"/>
        <v>31</v>
      </c>
      <c r="F33" s="17">
        <f>IF(C32=$F$10,SUM($F$17:F32),IF(C33=B33,IF(C33=$F$10,I32,ROUND(H33-G33,2)),""))</f>
        <v>63722.19</v>
      </c>
      <c r="G33" s="17">
        <f>IF(C32=$F$10,SUM($G$17:G32),IF(C33=B33,ROUND(((($F$12+1)^((D33-D32)/360))-1)*I32,2),""))</f>
        <v>21456.99</v>
      </c>
      <c r="H33" s="17">
        <f>IF(C32=$F$10,SUM($H$17:H32),IF(C33=B33,IF(C33=$F$10,F33+G33,ROUND($I$16/VLOOKUP("Totales",$D$17:$K$116,8,FALSE),2)),""))</f>
        <v>85179.18</v>
      </c>
      <c r="I33" s="17">
        <f t="shared" si="3"/>
        <v>2002002.39</v>
      </c>
      <c r="J33" s="17"/>
      <c r="K33" s="25">
        <f>IF(C32=$F$10,SUM($K$17:K32),IF(C33=B33,1/((1+$F$13)^SUM($E$17:E33)),""))</f>
        <v>0.83917382455828737</v>
      </c>
    </row>
    <row r="34" spans="2:11" x14ac:dyDescent="0.25">
      <c r="B34" s="18">
        <v>18</v>
      </c>
      <c r="C34" s="19">
        <f t="shared" si="1"/>
        <v>18</v>
      </c>
      <c r="D34" s="20">
        <f t="shared" si="2"/>
        <v>45593</v>
      </c>
      <c r="E34" s="23">
        <f t="shared" si="0"/>
        <v>30</v>
      </c>
      <c r="F34" s="17">
        <f>IF(C33=$F$10,SUM($F$17:F33),IF(C34=B34,IF(C34=$F$10,I33,ROUND(H34-G34,2)),""))</f>
        <v>65058.25</v>
      </c>
      <c r="G34" s="17">
        <f>IF(C33=$F$10,SUM($G$17:G33),IF(C34=B34,ROUND(((($F$12+1)^((D34-D33)/360))-1)*I33,2),""))</f>
        <v>20120.93</v>
      </c>
      <c r="H34" s="17">
        <f>IF(C33=$F$10,SUM($H$17:H33),IF(C34=B34,IF(C34=$F$10,F34+G34,ROUND($I$16/VLOOKUP("Totales",$D$17:$K$116,8,FALSE),2)),""))</f>
        <v>85179.18</v>
      </c>
      <c r="I34" s="17">
        <f t="shared" si="3"/>
        <v>1936944.14</v>
      </c>
      <c r="J34" s="17"/>
      <c r="K34" s="25">
        <f>IF(C33=$F$10,SUM($K$17:K33),IF(C34=B34,1/((1+$F$13)^SUM($E$17:E34)),""))</f>
        <v>0.83082371215825079</v>
      </c>
    </row>
    <row r="35" spans="2:11" x14ac:dyDescent="0.25">
      <c r="B35" s="18">
        <v>19</v>
      </c>
      <c r="C35" s="19">
        <f t="shared" si="1"/>
        <v>19</v>
      </c>
      <c r="D35" s="20">
        <f t="shared" si="2"/>
        <v>45624</v>
      </c>
      <c r="E35" s="23">
        <f t="shared" si="0"/>
        <v>31</v>
      </c>
      <c r="F35" s="17">
        <f>IF(C34=$F$10,SUM($F$17:F34),IF(C35=B35,IF(C35=$F$10,I34,ROUND(H35-G35,2)),""))</f>
        <v>65059.85</v>
      </c>
      <c r="G35" s="17">
        <f>IF(C34=$F$10,SUM($G$17:G34),IF(C35=B35,ROUND(((($F$12+1)^((D35-D34)/360))-1)*I34,2),""))</f>
        <v>20119.330000000002</v>
      </c>
      <c r="H35" s="17">
        <f>IF(C34=$F$10,SUM($H$17:H34),IF(C35=B35,IF(C35=$F$10,F35+G35,ROUND($I$16/VLOOKUP("Totales",$D$17:$K$116,8,FALSE),2)),""))</f>
        <v>85179.18</v>
      </c>
      <c r="I35" s="17">
        <f t="shared" si="3"/>
        <v>1871884.29</v>
      </c>
      <c r="J35" s="17"/>
      <c r="K35" s="25">
        <f>IF(C34=$F$10,SUM($K$17:K34),IF(C35=B35,1/((1+$F$13)^SUM($E$17:E35)),""))</f>
        <v>0.82228254044066895</v>
      </c>
    </row>
    <row r="36" spans="2:11" x14ac:dyDescent="0.25">
      <c r="B36" s="18">
        <v>20</v>
      </c>
      <c r="C36" s="19">
        <f t="shared" si="1"/>
        <v>20</v>
      </c>
      <c r="D36" s="20">
        <f t="shared" si="2"/>
        <v>45654</v>
      </c>
      <c r="E36" s="23">
        <f t="shared" si="0"/>
        <v>30</v>
      </c>
      <c r="F36" s="17">
        <f>IF(C35=$F$10,SUM($F$17:F35),IF(C36=B36,IF(C36=$F$10,I35,ROUND(H36-G36,2)),""))</f>
        <v>66365.990000000005</v>
      </c>
      <c r="G36" s="17">
        <f>IF(C35=$F$10,SUM($G$17:G35),IF(C36=B36,ROUND(((($F$12+1)^((D36-D35)/360))-1)*I35,2),""))</f>
        <v>18813.189999999999</v>
      </c>
      <c r="H36" s="17">
        <f>IF(C35=$F$10,SUM($H$17:H35),IF(C36=B36,IF(C36=$F$10,F36+G36,ROUND($I$16/VLOOKUP("Totales",$D$17:$K$116,8,FALSE),2)),""))</f>
        <v>85179.18</v>
      </c>
      <c r="I36" s="17">
        <f t="shared" si="3"/>
        <v>1805518.3</v>
      </c>
      <c r="J36" s="17"/>
      <c r="K36" s="25">
        <f>IF(C35=$F$10,SUM($K$17:K35),IF(C36=B36,1/((1+$F$13)^SUM($E$17:E36)),""))</f>
        <v>0.81410050301727643</v>
      </c>
    </row>
    <row r="37" spans="2:11" x14ac:dyDescent="0.25">
      <c r="B37" s="18">
        <v>21</v>
      </c>
      <c r="C37" s="19">
        <f t="shared" si="1"/>
        <v>21</v>
      </c>
      <c r="D37" s="20">
        <f t="shared" si="2"/>
        <v>45685</v>
      </c>
      <c r="E37" s="23">
        <f t="shared" si="0"/>
        <v>31</v>
      </c>
      <c r="F37" s="17">
        <f>IF(C36=$F$10,SUM($F$17:F36),IF(C37=B37,IF(C37=$F$10,I36,ROUND(H37-G37,2)),""))</f>
        <v>66424.990000000005</v>
      </c>
      <c r="G37" s="17">
        <f>IF(C36=$F$10,SUM($G$17:G36),IF(C37=B37,ROUND(((($F$12+1)^((D37-D36)/360))-1)*I36,2),""))</f>
        <v>18754.189999999999</v>
      </c>
      <c r="H37" s="17">
        <f>IF(C36=$F$10,SUM($H$17:H36),IF(C37=B37,IF(C37=$F$10,F37+G37,ROUND($I$16/VLOOKUP("Totales",$D$17:$K$116,8,FALSE),2)),""))</f>
        <v>85179.18</v>
      </c>
      <c r="I37" s="17">
        <f t="shared" si="3"/>
        <v>1739093.31</v>
      </c>
      <c r="J37" s="17"/>
      <c r="K37" s="25">
        <f>IF(C36=$F$10,SUM($K$17:K36),IF(C37=B37,1/((1+$F$13)^SUM($E$17:E37)),""))</f>
        <v>0.80573125200784412</v>
      </c>
    </row>
    <row r="38" spans="2:11" x14ac:dyDescent="0.25">
      <c r="B38" s="18">
        <v>22</v>
      </c>
      <c r="C38" s="19">
        <f t="shared" si="1"/>
        <v>22</v>
      </c>
      <c r="D38" s="20">
        <f t="shared" si="2"/>
        <v>45716</v>
      </c>
      <c r="E38" s="23">
        <f t="shared" si="0"/>
        <v>31</v>
      </c>
      <c r="F38" s="17">
        <f>IF(C37=$F$10,SUM($F$17:F37),IF(C38=B38,IF(C38=$F$10,I37,ROUND(H38-G38,2)),""))</f>
        <v>67114.960000000006</v>
      </c>
      <c r="G38" s="17">
        <f>IF(C37=$F$10,SUM($G$17:G37),IF(C38=B38,ROUND(((($F$12+1)^((D38-D37)/360))-1)*I37,2),""))</f>
        <v>18064.22</v>
      </c>
      <c r="H38" s="17">
        <f>IF(C37=$F$10,SUM($H$17:H37),IF(C38=B38,IF(C38=$F$10,F38+G38,ROUND($I$16/VLOOKUP("Totales",$D$17:$K$116,8,FALSE),2)),""))</f>
        <v>85179.18</v>
      </c>
      <c r="I38" s="17">
        <f t="shared" si="3"/>
        <v>1671978.35</v>
      </c>
      <c r="J38" s="17"/>
      <c r="K38" s="25">
        <f>IF(C37=$F$10,SUM($K$17:K37),IF(C38=B38,1/((1+$F$13)^SUM($E$17:E38)),""))</f>
        <v>0.79744803996067715</v>
      </c>
    </row>
    <row r="39" spans="2:11" x14ac:dyDescent="0.25">
      <c r="B39" s="18">
        <v>23</v>
      </c>
      <c r="C39" s="19">
        <f t="shared" si="1"/>
        <v>23</v>
      </c>
      <c r="D39" s="20">
        <f t="shared" si="2"/>
        <v>45744</v>
      </c>
      <c r="E39" s="23">
        <f t="shared" si="0"/>
        <v>28</v>
      </c>
      <c r="F39" s="17">
        <f>IF(C38=$F$10,SUM($F$17:F38),IF(C39=B39,IF(C39=$F$10,I38,ROUND(H39-G39,2)),""))</f>
        <v>69500.63</v>
      </c>
      <c r="G39" s="17">
        <f>IF(C38=$F$10,SUM($G$17:G38),IF(C39=B39,ROUND(((($F$12+1)^((D39-D38)/360))-1)*I38,2),""))</f>
        <v>15678.55</v>
      </c>
      <c r="H39" s="17">
        <f>IF(C38=$F$10,SUM($H$17:H38),IF(C39=B39,IF(C39=$F$10,F39+G39,ROUND($I$16/VLOOKUP("Totales",$D$17:$K$116,8,FALSE),2)),""))</f>
        <v>85179.18</v>
      </c>
      <c r="I39" s="17">
        <f t="shared" si="3"/>
        <v>1602477.72</v>
      </c>
      <c r="J39" s="17"/>
      <c r="K39" s="25">
        <f>IF(C38=$F$10,SUM($K$17:K38),IF(C39=B39,1/((1+$F$13)^SUM($E$17:E39)),""))</f>
        <v>0.79003964548688221</v>
      </c>
    </row>
    <row r="40" spans="2:11" x14ac:dyDescent="0.25">
      <c r="B40" s="18">
        <v>24</v>
      </c>
      <c r="C40" s="19">
        <f t="shared" si="1"/>
        <v>24</v>
      </c>
      <c r="D40" s="20">
        <f t="shared" si="2"/>
        <v>45775</v>
      </c>
      <c r="E40" s="23">
        <f t="shared" si="0"/>
        <v>31</v>
      </c>
      <c r="F40" s="17">
        <f>IF(C39=$F$10,SUM($F$17:F39),IF(C40=B40,IF(C40=$F$10,I39,ROUND(H40-G40,2)),""))</f>
        <v>68534</v>
      </c>
      <c r="G40" s="17">
        <f>IF(C39=$F$10,SUM($G$17:G39),IF(C40=B40,ROUND(((($F$12+1)^((D40-D39)/360))-1)*I39,2),""))</f>
        <v>16645.18</v>
      </c>
      <c r="H40" s="17">
        <f>IF(C39=$F$10,SUM($H$17:H39),IF(C40=B40,IF(C40=$F$10,F40+G40,ROUND($I$16/VLOOKUP("Totales",$D$17:$K$116,8,FALSE),2)),""))</f>
        <v>85179.18</v>
      </c>
      <c r="I40" s="17">
        <f t="shared" si="3"/>
        <v>1533943.72</v>
      </c>
      <c r="J40" s="17"/>
      <c r="K40" s="25">
        <f>IF(C39=$F$10,SUM($K$17:K39),IF(C40=B40,1/((1+$F$13)^SUM($E$17:E40)),""))</f>
        <v>0.78191774889552002</v>
      </c>
    </row>
    <row r="41" spans="2:11" x14ac:dyDescent="0.25">
      <c r="B41" s="18">
        <v>25</v>
      </c>
      <c r="C41" s="19">
        <f t="shared" si="1"/>
        <v>25</v>
      </c>
      <c r="D41" s="20">
        <f t="shared" si="2"/>
        <v>45805</v>
      </c>
      <c r="E41" s="23">
        <f t="shared" si="0"/>
        <v>30</v>
      </c>
      <c r="F41" s="17">
        <f>IF(C40=$F$10,SUM($F$17:F40),IF(C41=B41,IF(C41=$F$10,I40,ROUND(H41-G41,2)),""))</f>
        <v>69762.429999999993</v>
      </c>
      <c r="G41" s="17">
        <f>IF(C40=$F$10,SUM($G$17:G40),IF(C41=B41,ROUND(((($F$12+1)^((D41-D40)/360))-1)*I40,2),""))</f>
        <v>15416.75</v>
      </c>
      <c r="H41" s="17">
        <f>IF(C40=$F$10,SUM($H$17:H40),IF(C41=B41,IF(C41=$F$10,F41+G41,ROUND($I$16/VLOOKUP("Totales",$D$17:$K$116,8,FALSE),2)),""))</f>
        <v>85179.18</v>
      </c>
      <c r="I41" s="17">
        <f t="shared" si="3"/>
        <v>1464181.29</v>
      </c>
      <c r="J41" s="17"/>
      <c r="K41" s="25">
        <f>IF(C40=$F$10,SUM($K$17:K40),IF(C41=B41,1/((1+$F$13)^SUM($E$17:E41)),""))</f>
        <v>0.77413735715808929</v>
      </c>
    </row>
    <row r="42" spans="2:11" x14ac:dyDescent="0.25">
      <c r="B42" s="18">
        <v>26</v>
      </c>
      <c r="C42" s="19">
        <f t="shared" si="1"/>
        <v>26</v>
      </c>
      <c r="D42" s="20">
        <f t="shared" si="2"/>
        <v>45836</v>
      </c>
      <c r="E42" s="23">
        <f t="shared" si="0"/>
        <v>31</v>
      </c>
      <c r="F42" s="17">
        <f>IF(C41=$F$10,SUM($F$17:F41),IF(C42=B42,IF(C42=$F$10,I41,ROUND(H42-G42,2)),""))</f>
        <v>69970.509999999995</v>
      </c>
      <c r="G42" s="17">
        <f>IF(C41=$F$10,SUM($G$17:G41),IF(C42=B42,ROUND(((($F$12+1)^((D42-D41)/360))-1)*I41,2),""))</f>
        <v>15208.67</v>
      </c>
      <c r="H42" s="17">
        <f>IF(C41=$F$10,SUM($H$17:H41),IF(C42=B42,IF(C42=$F$10,F42+G42,ROUND($I$16/VLOOKUP("Totales",$D$17:$K$116,8,FALSE),2)),""))</f>
        <v>85179.18</v>
      </c>
      <c r="I42" s="17">
        <f t="shared" si="3"/>
        <v>1394210.78</v>
      </c>
      <c r="J42" s="17"/>
      <c r="K42" s="25">
        <f>IF(C41=$F$10,SUM($K$17:K41),IF(C42=B42,1/((1+$F$13)^SUM($E$17:E42)),""))</f>
        <v>0.76617894190859415</v>
      </c>
    </row>
    <row r="43" spans="2:11" x14ac:dyDescent="0.25">
      <c r="B43" s="18">
        <v>27</v>
      </c>
      <c r="C43" s="19">
        <f t="shared" si="1"/>
        <v>27</v>
      </c>
      <c r="D43" s="20">
        <f t="shared" si="2"/>
        <v>45866</v>
      </c>
      <c r="E43" s="23">
        <f t="shared" si="0"/>
        <v>30</v>
      </c>
      <c r="F43" s="17">
        <f>IF(C42=$F$10,SUM($F$17:F42),IF(C43=B43,IF(C43=$F$10,I42,ROUND(H43-G43,2)),""))</f>
        <v>71166.8</v>
      </c>
      <c r="G43" s="17">
        <f>IF(C42=$F$10,SUM($G$17:G42),IF(C43=B43,ROUND(((($F$12+1)^((D43-D42)/360))-1)*I42,2),""))</f>
        <v>14012.38</v>
      </c>
      <c r="H43" s="17">
        <f>IF(C42=$F$10,SUM($H$17:H42),IF(C43=B43,IF(C43=$F$10,F43+G43,ROUND($I$16/VLOOKUP("Totales",$D$17:$K$116,8,FALSE),2)),""))</f>
        <v>85179.18</v>
      </c>
      <c r="I43" s="17">
        <f t="shared" si="3"/>
        <v>1323043.98</v>
      </c>
      <c r="J43" s="17"/>
      <c r="K43" s="25">
        <f>IF(C42=$F$10,SUM($K$17:K42),IF(C43=B43,1/((1+$F$13)^SUM($E$17:E43)),""))</f>
        <v>0.75855515754324487</v>
      </c>
    </row>
    <row r="44" spans="2:11" x14ac:dyDescent="0.25">
      <c r="B44" s="18">
        <v>28</v>
      </c>
      <c r="C44" s="19">
        <f t="shared" si="1"/>
        <v>28</v>
      </c>
      <c r="D44" s="20">
        <f t="shared" si="2"/>
        <v>45897</v>
      </c>
      <c r="E44" s="23">
        <f t="shared" si="0"/>
        <v>31</v>
      </c>
      <c r="F44" s="17">
        <f>IF(C43=$F$10,SUM($F$17:F43),IF(C44=B44,IF(C44=$F$10,I43,ROUND(H44-G44,2)),""))</f>
        <v>71436.52</v>
      </c>
      <c r="G44" s="17">
        <f>IF(C43=$F$10,SUM($G$17:G43),IF(C44=B44,ROUND(((($F$12+1)^((D44-D43)/360))-1)*I43,2),""))</f>
        <v>13742.66</v>
      </c>
      <c r="H44" s="17">
        <f>IF(C43=$F$10,SUM($H$17:H43),IF(C44=B44,IF(C44=$F$10,F44+G44,ROUND($I$16/VLOOKUP("Totales",$D$17:$K$116,8,FALSE),2)),""))</f>
        <v>85179.18</v>
      </c>
      <c r="I44" s="17">
        <f t="shared" si="3"/>
        <v>1251607.46</v>
      </c>
      <c r="J44" s="17"/>
      <c r="K44" s="25">
        <f>IF(C43=$F$10,SUM($K$17:K43),IF(C44=B44,1/((1+$F$13)^SUM($E$17:E44)),""))</f>
        <v>0.75075693300653312</v>
      </c>
    </row>
    <row r="45" spans="2:11" x14ac:dyDescent="0.25">
      <c r="B45" s="18">
        <v>29</v>
      </c>
      <c r="C45" s="19">
        <f t="shared" si="1"/>
        <v>29</v>
      </c>
      <c r="D45" s="20">
        <f t="shared" si="2"/>
        <v>45928</v>
      </c>
      <c r="E45" s="23">
        <f t="shared" si="0"/>
        <v>31</v>
      </c>
      <c r="F45" s="17">
        <f>IF(C44=$F$10,SUM($F$17:F44),IF(C45=B45,IF(C45=$F$10,I44,ROUND(H45-G45,2)),""))</f>
        <v>72178.55</v>
      </c>
      <c r="G45" s="17">
        <f>IF(C44=$F$10,SUM($G$17:G44),IF(C45=B45,ROUND(((($F$12+1)^((D45-D44)/360))-1)*I44,2),""))</f>
        <v>13000.63</v>
      </c>
      <c r="H45" s="17">
        <f>IF(C44=$F$10,SUM($H$17:H44),IF(C45=B45,IF(C45=$F$10,F45+G45,ROUND($I$16/VLOOKUP("Totales",$D$17:$K$116,8,FALSE),2)),""))</f>
        <v>85179.18</v>
      </c>
      <c r="I45" s="17">
        <f t="shared" si="3"/>
        <v>1179428.9099999999</v>
      </c>
      <c r="J45" s="17"/>
      <c r="K45" s="25">
        <f>IF(C44=$F$10,SUM($K$17:K44),IF(C45=B45,1/((1+$F$13)^SUM($E$17:E45)),""))</f>
        <v>0.74303887707103677</v>
      </c>
    </row>
    <row r="46" spans="2:11" x14ac:dyDescent="0.25">
      <c r="B46" s="18">
        <v>30</v>
      </c>
      <c r="C46" s="19">
        <f t="shared" si="1"/>
        <v>30</v>
      </c>
      <c r="D46" s="20">
        <f t="shared" si="2"/>
        <v>45958</v>
      </c>
      <c r="E46" s="23">
        <f t="shared" si="0"/>
        <v>30</v>
      </c>
      <c r="F46" s="17">
        <f>IF(C45=$F$10,SUM($F$17:F45),IF(C46=B46,IF(C46=$F$10,I45,ROUND(H46-G46,2)),""))</f>
        <v>73325.45</v>
      </c>
      <c r="G46" s="17">
        <f>IF(C45=$F$10,SUM($G$17:G45),IF(C46=B46,ROUND(((($F$12+1)^((D46-D45)/360))-1)*I45,2),""))</f>
        <v>11853.73</v>
      </c>
      <c r="H46" s="17">
        <f>IF(C45=$F$10,SUM($H$17:H45),IF(C46=B46,IF(C46=$F$10,F46+G46,ROUND($I$16/VLOOKUP("Totales",$D$17:$K$116,8,FALSE),2)),""))</f>
        <v>85179.18</v>
      </c>
      <c r="I46" s="17">
        <f t="shared" si="3"/>
        <v>1106103.46</v>
      </c>
      <c r="J46" s="17"/>
      <c r="K46" s="25">
        <f>IF(C45=$F$10,SUM($K$17:K45),IF(C46=B46,1/((1+$F$13)^SUM($E$17:E46)),""))</f>
        <v>0.73564534552897987</v>
      </c>
    </row>
    <row r="47" spans="2:11" x14ac:dyDescent="0.25">
      <c r="B47" s="18">
        <v>31</v>
      </c>
      <c r="C47" s="19">
        <f t="shared" si="1"/>
        <v>31</v>
      </c>
      <c r="D47" s="20">
        <f t="shared" si="2"/>
        <v>45989</v>
      </c>
      <c r="E47" s="23">
        <f t="shared" si="0"/>
        <v>31</v>
      </c>
      <c r="F47" s="17">
        <f>IF(C46=$F$10,SUM($F$17:F46),IF(C47=B47,IF(C47=$F$10,I46,ROUND(H47-G47,2)),""))</f>
        <v>73689.919999999998</v>
      </c>
      <c r="G47" s="17">
        <f>IF(C46=$F$10,SUM($G$17:G46),IF(C47=B47,ROUND(((($F$12+1)^((D47-D46)/360))-1)*I46,2),""))</f>
        <v>11489.26</v>
      </c>
      <c r="H47" s="17">
        <f>IF(C46=$F$10,SUM($H$17:H46),IF(C47=B47,IF(C47=$F$10,F47+G47,ROUND($I$16/VLOOKUP("Totales",$D$17:$K$116,8,FALSE),2)),""))</f>
        <v>85179.18</v>
      </c>
      <c r="I47" s="17">
        <f t="shared" si="3"/>
        <v>1032413.54</v>
      </c>
      <c r="J47" s="17"/>
      <c r="K47" s="25">
        <f>IF(C46=$F$10,SUM($K$17:K46),IF(C47=B47,1/((1+$F$13)^SUM($E$17:E47)),""))</f>
        <v>0.72808264224132235</v>
      </c>
    </row>
    <row r="48" spans="2:11" x14ac:dyDescent="0.25">
      <c r="B48" s="18">
        <v>32</v>
      </c>
      <c r="C48" s="19">
        <f t="shared" si="1"/>
        <v>32</v>
      </c>
      <c r="D48" s="20">
        <f t="shared" si="2"/>
        <v>46019</v>
      </c>
      <c r="E48" s="23">
        <f t="shared" si="0"/>
        <v>30</v>
      </c>
      <c r="F48" s="17">
        <f>IF(C47=$F$10,SUM($F$17:F47),IF(C48=B48,IF(C48=$F$10,I47,ROUND(H48-G48,2)),""))</f>
        <v>74803.009999999995</v>
      </c>
      <c r="G48" s="17">
        <f>IF(C47=$F$10,SUM($G$17:G47),IF(C48=B48,ROUND(((($F$12+1)^((D48-D47)/360))-1)*I47,2),""))</f>
        <v>10376.17</v>
      </c>
      <c r="H48" s="17">
        <f>IF(C47=$F$10,SUM($H$17:H47),IF(C48=B48,IF(C48=$F$10,F48+G48,ROUND($I$16/VLOOKUP("Totales",$D$17:$K$116,8,FALSE),2)),""))</f>
        <v>85179.18</v>
      </c>
      <c r="I48" s="17">
        <f t="shared" si="3"/>
        <v>957610.53</v>
      </c>
      <c r="J48" s="17"/>
      <c r="K48" s="25">
        <f>IF(C47=$F$10,SUM($K$17:K47),IF(C48=B48,1/((1+$F$13)^SUM($E$17:E48)),""))</f>
        <v>0.720837931167987</v>
      </c>
    </row>
    <row r="49" spans="2:11" x14ac:dyDescent="0.25">
      <c r="B49" s="18">
        <v>33</v>
      </c>
      <c r="C49" s="19">
        <f t="shared" si="1"/>
        <v>33</v>
      </c>
      <c r="D49" s="20">
        <f t="shared" si="2"/>
        <v>46050</v>
      </c>
      <c r="E49" s="23">
        <f t="shared" si="0"/>
        <v>31</v>
      </c>
      <c r="F49" s="17">
        <f>IF(C48=$F$10,SUM($F$17:F48),IF(C49=B49,IF(C49=$F$10,I48,ROUND(H49-G49,2)),""))</f>
        <v>75232.34</v>
      </c>
      <c r="G49" s="17">
        <f>IF(C48=$F$10,SUM($G$17:G48),IF(C49=B49,ROUND(((($F$12+1)^((D49-D48)/360))-1)*I48,2),""))</f>
        <v>9946.84</v>
      </c>
      <c r="H49" s="17">
        <f>IF(C48=$F$10,SUM($H$17:H48),IF(C49=B49,IF(C49=$F$10,F49+G49,ROUND($I$16/VLOOKUP("Totales",$D$17:$K$116,8,FALSE),2)),""))</f>
        <v>85179.18</v>
      </c>
      <c r="I49" s="17">
        <f t="shared" si="3"/>
        <v>882378.19</v>
      </c>
      <c r="J49" s="17"/>
      <c r="K49" s="25">
        <f>IF(C48=$F$10,SUM($K$17:K48),IF(C49=B49,1/((1+$F$13)^SUM($E$17:E49)),""))</f>
        <v>0.71342745351724834</v>
      </c>
    </row>
    <row r="50" spans="2:11" x14ac:dyDescent="0.25">
      <c r="B50" s="18">
        <v>34</v>
      </c>
      <c r="C50" s="19">
        <f t="shared" si="1"/>
        <v>34</v>
      </c>
      <c r="D50" s="20">
        <f t="shared" si="2"/>
        <v>46081</v>
      </c>
      <c r="E50" s="23">
        <f t="shared" si="0"/>
        <v>31</v>
      </c>
      <c r="F50" s="17">
        <f>IF(C49=$F$10,SUM($F$17:F49),IF(C50=B50,IF(C50=$F$10,I49,ROUND(H50-G50,2)),""))</f>
        <v>76013.789999999994</v>
      </c>
      <c r="G50" s="17">
        <f>IF(C49=$F$10,SUM($G$17:G49),IF(C50=B50,ROUND(((($F$12+1)^((D50-D49)/360))-1)*I49,2),""))</f>
        <v>9165.39</v>
      </c>
      <c r="H50" s="17">
        <f>IF(C49=$F$10,SUM($H$17:H49),IF(C50=B50,IF(C50=$F$10,F50+G50,ROUND($I$16/VLOOKUP("Totales",$D$17:$K$116,8,FALSE),2)),""))</f>
        <v>85179.18</v>
      </c>
      <c r="I50" s="17">
        <f t="shared" si="3"/>
        <v>806364.4</v>
      </c>
      <c r="J50" s="17"/>
      <c r="K50" s="25">
        <f>IF(C49=$F$10,SUM($K$17:K49),IF(C50=B50,1/((1+$F$13)^SUM($E$17:E50)),""))</f>
        <v>0.70609315828788022</v>
      </c>
    </row>
    <row r="51" spans="2:11" x14ac:dyDescent="0.25">
      <c r="B51" s="18">
        <v>35</v>
      </c>
      <c r="C51" s="19">
        <f t="shared" si="1"/>
        <v>35</v>
      </c>
      <c r="D51" s="20">
        <f t="shared" si="2"/>
        <v>46109</v>
      </c>
      <c r="E51" s="23">
        <f t="shared" si="0"/>
        <v>28</v>
      </c>
      <c r="F51" s="17">
        <f>IF(C50=$F$10,SUM($F$17:F50),IF(C51=B51,IF(C51=$F$10,I50,ROUND(H51-G51,2)),""))</f>
        <v>77617.7</v>
      </c>
      <c r="G51" s="17">
        <f>IF(C50=$F$10,SUM($G$17:G50),IF(C51=B51,ROUND(((($F$12+1)^((D51-D50)/360))-1)*I50,2),""))</f>
        <v>7561.48</v>
      </c>
      <c r="H51" s="17">
        <f>IF(C50=$F$10,SUM($H$17:H50),IF(C51=B51,IF(C51=$F$10,F51+G51,ROUND($I$16/VLOOKUP("Totales",$D$17:$K$116,8,FALSE),2)),""))</f>
        <v>85179.18</v>
      </c>
      <c r="I51" s="17">
        <f t="shared" si="3"/>
        <v>728746.7</v>
      </c>
      <c r="J51" s="17"/>
      <c r="K51" s="25">
        <f>IF(C50=$F$10,SUM($K$17:K50),IF(C51=B51,1/((1+$F$13)^SUM($E$17:E51)),""))</f>
        <v>0.69953346237076186</v>
      </c>
    </row>
    <row r="52" spans="2:11" x14ac:dyDescent="0.25">
      <c r="B52" s="18">
        <v>36</v>
      </c>
      <c r="C52" s="19">
        <f t="shared" si="1"/>
        <v>36</v>
      </c>
      <c r="D52" s="20">
        <f t="shared" si="2"/>
        <v>46140</v>
      </c>
      <c r="E52" s="23">
        <f t="shared" si="0"/>
        <v>31</v>
      </c>
      <c r="F52" s="17">
        <f>IF(C51=$F$10,SUM($F$17:F51),IF(C52=B52,IF(C52=$F$10,I51,ROUND(H52-G52,2)),""))</f>
        <v>77609.58</v>
      </c>
      <c r="G52" s="17">
        <f>IF(C51=$F$10,SUM($G$17:G51),IF(C52=B52,ROUND(((($F$12+1)^((D52-D51)/360))-1)*I51,2),""))</f>
        <v>7569.6</v>
      </c>
      <c r="H52" s="17">
        <f>IF(C51=$F$10,SUM($H$17:H51),IF(C52=B52,IF(C52=$F$10,F52+G52,ROUND($I$16/VLOOKUP("Totales",$D$17:$K$116,8,FALSE),2)),""))</f>
        <v>85179.18</v>
      </c>
      <c r="I52" s="17">
        <f t="shared" si="3"/>
        <v>651137.12</v>
      </c>
      <c r="J52" s="17"/>
      <c r="K52" s="25">
        <f>IF(C51=$F$10,SUM($K$17:K51),IF(C52=B52,1/((1+$F$13)^SUM($E$17:E52)),""))</f>
        <v>0.69234200245349176</v>
      </c>
    </row>
    <row r="53" spans="2:11" x14ac:dyDescent="0.25">
      <c r="B53" s="18">
        <v>37</v>
      </c>
      <c r="C53" s="19">
        <f t="shared" si="1"/>
        <v>37</v>
      </c>
      <c r="D53" s="20">
        <f t="shared" si="2"/>
        <v>46170</v>
      </c>
      <c r="E53" s="23">
        <f t="shared" si="0"/>
        <v>30</v>
      </c>
      <c r="F53" s="17">
        <f>IF(C52=$F$10,SUM($F$17:F52),IF(C53=B53,IF(C53=$F$10,I52,ROUND(H53-G53,2)),""))</f>
        <v>78634.990000000005</v>
      </c>
      <c r="G53" s="17">
        <f>IF(C52=$F$10,SUM($G$17:G52),IF(C53=B53,ROUND(((($F$12+1)^((D53-D52)/360))-1)*I52,2),""))</f>
        <v>6544.19</v>
      </c>
      <c r="H53" s="17">
        <f>IF(C52=$F$10,SUM($H$17:H52),IF(C53=B53,IF(C53=$F$10,F53+G53,ROUND($I$16/VLOOKUP("Totales",$D$17:$K$116,8,FALSE),2)),""))</f>
        <v>85179.18</v>
      </c>
      <c r="I53" s="17">
        <f t="shared" si="3"/>
        <v>572502.13</v>
      </c>
      <c r="J53" s="17"/>
      <c r="K53" s="25">
        <f>IF(C52=$F$10,SUM($K$17:K52),IF(C53=B53,1/((1+$F$13)^SUM($E$17:E53)),""))</f>
        <v>0.68545292492203269</v>
      </c>
    </row>
    <row r="54" spans="2:11" x14ac:dyDescent="0.25">
      <c r="B54" s="18">
        <v>38</v>
      </c>
      <c r="C54" s="19">
        <f t="shared" si="1"/>
        <v>38</v>
      </c>
      <c r="D54" s="20">
        <f t="shared" si="2"/>
        <v>46201</v>
      </c>
      <c r="E54" s="23">
        <f t="shared" si="0"/>
        <v>31</v>
      </c>
      <c r="F54" s="17">
        <f>IF(C53=$F$10,SUM($F$17:F53),IF(C54=B54,IF(C54=$F$10,I53,ROUND(H54-G54,2)),""))</f>
        <v>79232.509999999995</v>
      </c>
      <c r="G54" s="17">
        <f>IF(C53=$F$10,SUM($G$17:G53),IF(C54=B54,ROUND(((($F$12+1)^((D54-D53)/360))-1)*I53,2),""))</f>
        <v>5946.67</v>
      </c>
      <c r="H54" s="17">
        <f>IF(C53=$F$10,SUM($H$17:H53),IF(C54=B54,IF(C54=$F$10,F54+G54,ROUND($I$16/VLOOKUP("Totales",$D$17:$K$116,8,FALSE),2)),""))</f>
        <v>85179.18</v>
      </c>
      <c r="I54" s="17">
        <f t="shared" si="3"/>
        <v>493269.62</v>
      </c>
      <c r="J54" s="17"/>
      <c r="K54" s="25">
        <f>IF(C53=$F$10,SUM($K$17:K53),IF(C54=B54,1/((1+$F$13)^SUM($E$17:E54)),""))</f>
        <v>0.67840621808109602</v>
      </c>
    </row>
    <row r="55" spans="2:11" x14ac:dyDescent="0.25">
      <c r="B55" s="18">
        <v>39</v>
      </c>
      <c r="C55" s="19">
        <f t="shared" si="1"/>
        <v>39</v>
      </c>
      <c r="D55" s="20">
        <f t="shared" si="2"/>
        <v>46231</v>
      </c>
      <c r="E55" s="23">
        <f t="shared" si="0"/>
        <v>30</v>
      </c>
      <c r="F55" s="17">
        <f>IF(C54=$F$10,SUM($F$17:F54),IF(C55=B55,IF(C55=$F$10,I54,ROUND(H55-G55,2)),""))</f>
        <v>80221.62</v>
      </c>
      <c r="G55" s="17">
        <f>IF(C54=$F$10,SUM($G$17:G54),IF(C55=B55,ROUND(((($F$12+1)^((D55-D54)/360))-1)*I54,2),""))</f>
        <v>4957.5600000000004</v>
      </c>
      <c r="H55" s="17">
        <f>IF(C54=$F$10,SUM($H$17:H54),IF(C55=B55,IF(C55=$F$10,F55+G55,ROUND($I$16/VLOOKUP("Totales",$D$17:$K$116,8,FALSE),2)),""))</f>
        <v>85179.18</v>
      </c>
      <c r="I55" s="17">
        <f t="shared" si="3"/>
        <v>413048</v>
      </c>
      <c r="J55" s="17"/>
      <c r="K55" s="25">
        <f>IF(C54=$F$10,SUM($K$17:K54),IF(C55=B55,1/((1+$F$13)^SUM($E$17:E55)),""))</f>
        <v>0.67165580713156159</v>
      </c>
    </row>
    <row r="56" spans="2:11" x14ac:dyDescent="0.25">
      <c r="B56" s="18">
        <v>40</v>
      </c>
      <c r="C56" s="19">
        <f t="shared" si="1"/>
        <v>40</v>
      </c>
      <c r="D56" s="20">
        <f t="shared" si="2"/>
        <v>46262</v>
      </c>
      <c r="E56" s="23">
        <f t="shared" si="0"/>
        <v>31</v>
      </c>
      <c r="F56" s="17">
        <f>IF(C55=$F$10,SUM($F$17:F55),IF(C56=B56,IF(C56=$F$10,I55,ROUND(H56-G56,2)),""))</f>
        <v>80888.789999999994</v>
      </c>
      <c r="G56" s="17">
        <f>IF(C55=$F$10,SUM($G$17:G55),IF(C56=B56,ROUND(((($F$12+1)^((D56-D55)/360))-1)*I55,2),""))</f>
        <v>4290.3900000000003</v>
      </c>
      <c r="H56" s="17">
        <f>IF(C55=$F$10,SUM($H$17:H55),IF(C56=B56,IF(C56=$F$10,F56+G56,ROUND($I$16/VLOOKUP("Totales",$D$17:$K$116,8,FALSE),2)),""))</f>
        <v>85179.18</v>
      </c>
      <c r="I56" s="17">
        <f t="shared" si="3"/>
        <v>332159.21000000002</v>
      </c>
      <c r="J56" s="17"/>
      <c r="K56" s="25">
        <f>IF(C55=$F$10,SUM($K$17:K55),IF(C56=B56,1/((1+$F$13)^SUM($E$17:E56)),""))</f>
        <v>0.6647509397091822</v>
      </c>
    </row>
    <row r="57" spans="2:11" x14ac:dyDescent="0.25">
      <c r="B57" s="18">
        <v>41</v>
      </c>
      <c r="C57" s="19">
        <f t="shared" si="1"/>
        <v>41</v>
      </c>
      <c r="D57" s="20">
        <f t="shared" si="2"/>
        <v>46293</v>
      </c>
      <c r="E57" s="23">
        <f t="shared" si="0"/>
        <v>31</v>
      </c>
      <c r="F57" s="17">
        <f>IF(C56=$F$10,SUM($F$17:F56),IF(C57=B57,IF(C57=$F$10,I56,ROUND(H57-G57,2)),""))</f>
        <v>81728.990000000005</v>
      </c>
      <c r="G57" s="17">
        <f>IF(C56=$F$10,SUM($G$17:G56),IF(C57=B57,ROUND(((($F$12+1)^((D57-D56)/360))-1)*I56,2),""))</f>
        <v>3450.19</v>
      </c>
      <c r="H57" s="17">
        <f>IF(C56=$F$10,SUM($H$17:H56),IF(C57=B57,IF(C57=$F$10,F57+G57,ROUND($I$16/VLOOKUP("Totales",$D$17:$K$116,8,FALSE),2)),""))</f>
        <v>85179.18</v>
      </c>
      <c r="I57" s="17">
        <f t="shared" si="3"/>
        <v>250430.22</v>
      </c>
      <c r="J57" s="17"/>
      <c r="K57" s="25">
        <f>IF(C56=$F$10,SUM($K$17:K56),IF(C57=B57,1/((1+$F$13)^SUM($E$17:E57)),""))</f>
        <v>0.6579170568500482</v>
      </c>
    </row>
    <row r="58" spans="2:11" x14ac:dyDescent="0.25">
      <c r="B58" s="18">
        <v>42</v>
      </c>
      <c r="C58" s="19">
        <f t="shared" si="1"/>
        <v>42</v>
      </c>
      <c r="D58" s="20">
        <f t="shared" si="2"/>
        <v>46323</v>
      </c>
      <c r="E58" s="23">
        <f t="shared" si="0"/>
        <v>30</v>
      </c>
      <c r="F58" s="17">
        <f>IF(C57=$F$10,SUM($F$17:F57),IF(C58=B58,IF(C58=$F$10,I57,ROUND(H58-G58,2)),""))</f>
        <v>82662.259999999995</v>
      </c>
      <c r="G58" s="17">
        <f>IF(C57=$F$10,SUM($G$17:G57),IF(C58=B58,ROUND(((($F$12+1)^((D58-D57)/360))-1)*I57,2),""))</f>
        <v>2516.92</v>
      </c>
      <c r="H58" s="17">
        <f>IF(C57=$F$10,SUM($H$17:H57),IF(C58=B58,IF(C58=$F$10,F58+G58,ROUND($I$16/VLOOKUP("Totales",$D$17:$K$116,8,FALSE),2)),""))</f>
        <v>85179.18</v>
      </c>
      <c r="I58" s="17">
        <f t="shared" si="3"/>
        <v>167767.96</v>
      </c>
      <c r="J58" s="17"/>
      <c r="K58" s="25">
        <f>IF(C57=$F$10,SUM($K$17:K57),IF(C58=B58,1/((1+$F$13)^SUM($E$17:E58)),""))</f>
        <v>0.65137052118148064</v>
      </c>
    </row>
    <row r="59" spans="2:11" x14ac:dyDescent="0.25">
      <c r="B59" s="18">
        <v>43</v>
      </c>
      <c r="C59" s="19">
        <f t="shared" si="1"/>
        <v>43</v>
      </c>
      <c r="D59" s="20">
        <f t="shared" si="2"/>
        <v>46354</v>
      </c>
      <c r="E59" s="23">
        <f t="shared" si="0"/>
        <v>31</v>
      </c>
      <c r="F59" s="17">
        <f>IF(C58=$F$10,SUM($F$17:F58),IF(C59=B59,IF(C59=$F$10,I58,ROUND(H59-G59,2)),""))</f>
        <v>83436.55</v>
      </c>
      <c r="G59" s="17">
        <f>IF(C58=$F$10,SUM($G$17:G58),IF(C59=B59,ROUND(((($F$12+1)^((D59-D58)/360))-1)*I58,2),""))</f>
        <v>1742.63</v>
      </c>
      <c r="H59" s="17">
        <f>IF(C58=$F$10,SUM($H$17:H58),IF(C59=B59,IF(C59=$F$10,F59+G59,ROUND($I$16/VLOOKUP("Totales",$D$17:$K$116,8,FALSE),2)),""))</f>
        <v>85179.18</v>
      </c>
      <c r="I59" s="17">
        <f t="shared" si="3"/>
        <v>84331.41</v>
      </c>
      <c r="J59" s="17"/>
      <c r="K59" s="25">
        <f>IF(C58=$F$10,SUM($K$17:K58),IF(C59=B59,1/((1+$F$13)^SUM($E$17:E59)),""))</f>
        <v>0.64467419392003356</v>
      </c>
    </row>
    <row r="60" spans="2:11" x14ac:dyDescent="0.25">
      <c r="B60" s="18">
        <v>44</v>
      </c>
      <c r="C60" s="19">
        <f t="shared" si="1"/>
        <v>44</v>
      </c>
      <c r="D60" s="20">
        <f t="shared" si="2"/>
        <v>46384</v>
      </c>
      <c r="E60" s="23">
        <f t="shared" si="0"/>
        <v>30</v>
      </c>
      <c r="F60" s="17">
        <f>IF(C59=$F$10,SUM($F$17:F59),IF(C60=B60,IF(C60=$F$10,I59,ROUND(H60-G60,2)),""))</f>
        <v>84331.41</v>
      </c>
      <c r="G60" s="17">
        <f>IF(C59=$F$10,SUM($G$17:G59),IF(C60=B60,ROUND(((($F$12+1)^((D60-D59)/360))-1)*I59,2),""))</f>
        <v>847.56</v>
      </c>
      <c r="H60" s="17">
        <f>IF(C59=$F$10,SUM($H$17:H59),IF(C60=B60,IF(C60=$F$10,F60+G60,ROUND($I$16/VLOOKUP("Totales",$D$17:$K$116,8,FALSE),2)),""))</f>
        <v>85178.97</v>
      </c>
      <c r="I60" s="17">
        <f t="shared" si="3"/>
        <v>0</v>
      </c>
      <c r="J60" s="17"/>
      <c r="K60" s="25">
        <f>IF(C59=$F$10,SUM($K$17:K59),IF(C60=B60,1/((1+$F$13)^SUM($E$17:E60)),""))</f>
        <v>0.63825942999020202</v>
      </c>
    </row>
    <row r="61" spans="2:11" x14ac:dyDescent="0.25">
      <c r="B61" s="18">
        <v>45</v>
      </c>
      <c r="C61" s="19" t="str">
        <f t="shared" si="1"/>
        <v/>
      </c>
      <c r="D61" s="20" t="str">
        <f t="shared" si="2"/>
        <v>Totales</v>
      </c>
      <c r="E61" s="23" t="str">
        <f t="shared" si="0"/>
        <v/>
      </c>
      <c r="F61" s="17">
        <f>IF(C60=$F$10,SUM($F$17:F60),IF(C61=B61,IF(C61=$F$10,I60,ROUND(H61-G61,2)),""))</f>
        <v>3000000.0000000005</v>
      </c>
      <c r="G61" s="17">
        <f>IF(C60=$F$10,SUM($G$17:G60),IF(C61=B61,ROUND(((($F$12+1)^((D61-D60)/360))-1)*I60,2),""))</f>
        <v>747883.7100000002</v>
      </c>
      <c r="H61" s="17">
        <f>IF(C60=$F$10,SUM($H$17:H60),IF(C61=B61,IF(C61=$F$10,F61+G61,ROUND($I$16/VLOOKUP("Totales",$D$17:$K$116,8,FALSE),2)),""))</f>
        <v>3747883.7100000023</v>
      </c>
      <c r="I61" s="17" t="str">
        <f t="shared" si="3"/>
        <v/>
      </c>
      <c r="J61" s="27"/>
      <c r="K61" s="25">
        <f>IF(C60=$F$10,SUM($K$17:K60),IF(C61=B61,1/((1+$F$13)^SUM($E$17:E61)),""))</f>
        <v>35.219875641326503</v>
      </c>
    </row>
    <row r="62" spans="2:11" x14ac:dyDescent="0.25">
      <c r="B62" s="18">
        <v>46</v>
      </c>
      <c r="C62" s="19" t="str">
        <f t="shared" si="1"/>
        <v/>
      </c>
      <c r="D62" s="20" t="str">
        <f t="shared" si="2"/>
        <v/>
      </c>
      <c r="E62" s="23" t="str">
        <f t="shared" si="0"/>
        <v/>
      </c>
      <c r="F62" s="17" t="str">
        <f>IF(C61=$F$10,SUM($F$17:F61),IF(C62=B62,IF(C62=$F$10,I61,ROUND(H62-G62,2)),""))</f>
        <v/>
      </c>
      <c r="G62" s="17" t="str">
        <f>IF(C61=$F$10,SUM($G$17:G61),IF(C62=B62,ROUND(((($F$12+1)^((D62-D61)/360))-1)*I61,2),""))</f>
        <v/>
      </c>
      <c r="H62" s="17" t="str">
        <f>IF(C61=$F$10,SUM($H$17:H61),IF(C62=B62,IF(C62=$F$10,F62+G62,ROUND($I$16/VLOOKUP("Totales",$D$17:$K$116,8,FALSE),2)),""))</f>
        <v/>
      </c>
      <c r="I62" s="17" t="str">
        <f t="shared" si="3"/>
        <v/>
      </c>
      <c r="J62" s="27"/>
      <c r="K62" s="25" t="str">
        <f>IF(C61=$F$10,SUM($K$17:K61),IF(C62=B62,1/((1+$F$13)^SUM($E$17:E62)),""))</f>
        <v/>
      </c>
    </row>
    <row r="63" spans="2:11" x14ac:dyDescent="0.25">
      <c r="B63" s="18">
        <v>47</v>
      </c>
      <c r="C63" s="19" t="str">
        <f t="shared" si="1"/>
        <v/>
      </c>
      <c r="D63" s="20" t="str">
        <f t="shared" si="2"/>
        <v/>
      </c>
      <c r="E63" s="23" t="str">
        <f>IF(C63=B63,D63-D62,"")</f>
        <v/>
      </c>
      <c r="F63" s="17" t="str">
        <f>IF(C62=$F$10,SUM($F$17:F62),IF(C63=B63,IF(C63=$F$10,I62,ROUND(H63-G63,2)),""))</f>
        <v/>
      </c>
      <c r="G63" s="17" t="str">
        <f>IF(C62=$F$10,SUM($G$17:G62),IF(C63=B63,ROUND(((($F$12+1)^((D63-D62)/360))-1)*I62,2),""))</f>
        <v/>
      </c>
      <c r="H63" s="17" t="str">
        <f>IF(C62=$F$10,SUM($H$17:H62),IF(C63=B63,IF(C63=$F$10,F63+G63,ROUND($I$16/VLOOKUP("Totales",$D$17:$K$116,8,FALSE),2)),""))</f>
        <v/>
      </c>
      <c r="I63" s="17" t="str">
        <f t="shared" si="3"/>
        <v/>
      </c>
      <c r="J63" s="28"/>
      <c r="K63" s="25" t="str">
        <f>IF(C62=$F$10,SUM($K$17:K62),IF(C63=B63,1/((1+$F$13)^SUM($E$17:E63)),""))</f>
        <v/>
      </c>
    </row>
    <row r="64" spans="2:11" x14ac:dyDescent="0.25">
      <c r="B64" s="18">
        <v>48</v>
      </c>
      <c r="C64" s="19" t="str">
        <f>IF(B64&lt;=$F$10,B64,"")</f>
        <v/>
      </c>
      <c r="D64" s="20" t="str">
        <f t="shared" si="2"/>
        <v/>
      </c>
      <c r="E64" s="23" t="str">
        <f>IF(C64=B64,D64-D63,"")</f>
        <v/>
      </c>
      <c r="F64" s="17" t="str">
        <f>IF(C63=$F$10,SUM($F$17:F63),IF(C64=B64,IF(C64=$F$10,I63,ROUND(H64-G64,2)),""))</f>
        <v/>
      </c>
      <c r="G64" s="17" t="str">
        <f>IF(C63=$F$10,SUM($G$17:G63),IF(C64=B64,ROUND(((($F$12+1)^((D64-D63)/360))-1)*I63,2),""))</f>
        <v/>
      </c>
      <c r="H64" s="17" t="str">
        <f>IF(C63=$F$10,SUM($H$17:H63),IF(C64=B64,IF(C64=$F$10,F64+G64,ROUND($I$16/VLOOKUP("Totales",$D$17:$K$116,8,FALSE),2)),""))</f>
        <v/>
      </c>
      <c r="I64" s="17" t="str">
        <f t="shared" si="3"/>
        <v/>
      </c>
      <c r="J64" s="17"/>
      <c r="K64" s="25" t="str">
        <f>IF(C63=$F$10,SUM($K$17:K63),IF(C64=B64,1/((1+$F$13)^SUM($E$17:E64)),""))</f>
        <v/>
      </c>
    </row>
    <row r="65" spans="1:13" ht="14.5" x14ac:dyDescent="0.35">
      <c r="A65"/>
      <c r="B65" s="18">
        <v>49</v>
      </c>
      <c r="C65" s="19" t="str">
        <f t="shared" si="1"/>
        <v/>
      </c>
      <c r="D65" s="20" t="str">
        <f t="shared" si="2"/>
        <v/>
      </c>
      <c r="E65" s="23" t="str">
        <f>IF(C65=B65,D65-D64,"")</f>
        <v/>
      </c>
      <c r="F65" s="17" t="str">
        <f>IF(C64=$F$10,SUM($F$17:F64),IF(C65=B65,IF(C65=$F$10,I64,ROUND(H65-G65,2)),""))</f>
        <v/>
      </c>
      <c r="G65" s="17" t="str">
        <f>IF(C64=$F$10,SUM($G$17:G64),IF(C65=B65,ROUND(((($F$12+1)^((D65-D64)/360))-1)*I64,2),""))</f>
        <v/>
      </c>
      <c r="H65" s="17" t="str">
        <f>IF(C64=$F$10,SUM($H$17:H64),IF(C65=B65,IF(C65=$F$10,F65+G65,ROUND($I$16/VLOOKUP("Totales",$D$17:$K$116,8,FALSE),2)),""))</f>
        <v/>
      </c>
      <c r="I65" s="17" t="str">
        <f t="shared" si="3"/>
        <v/>
      </c>
      <c r="J65" s="17"/>
      <c r="K65" s="25" t="str">
        <f>IF(C64=$F$10,SUM($K$17:K64),IF(C65=B65,1/((1+$F$13)^SUM($E$17:E65)),""))</f>
        <v/>
      </c>
      <c r="L65" s="17" t="s">
        <v>17</v>
      </c>
      <c r="M65" s="17"/>
    </row>
    <row r="66" spans="1:13" ht="14.5" x14ac:dyDescent="0.35">
      <c r="A66"/>
      <c r="B66" s="18">
        <v>50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IF(C65=$F$10,SUM($F$17:F65),IF(C66=B66,IF(C66=$F$10,I65,ROUND(H66-G66,2)),""))</f>
        <v/>
      </c>
      <c r="G66" s="17" t="str">
        <f>IF(C65=$F$10,SUM($G$17:G65),IF(C66=B66,ROUND(((($F$12+1)^((D66-D65)/360))-1)*I65,2),""))</f>
        <v/>
      </c>
      <c r="H66" s="17" t="str">
        <f>IF(C65=$F$10,SUM($H$17:H65),IF(C66=B66,IF(C66=$F$10,F66+G66,ROUND($I$16/VLOOKUP("Totales",$D$17:$K$116,8,FALSE),2)),""))</f>
        <v/>
      </c>
      <c r="I66" s="17" t="str">
        <f>IF(C66=B66,ROUND(I65-F66,2),"")</f>
        <v/>
      </c>
      <c r="J66" s="17"/>
      <c r="K66" s="25" t="str">
        <f>IF(C65=$F$10,SUM($K$17:K65),IF(C66=B66,1/((1+$F$13)^SUM($E$17:E66)),""))</f>
        <v/>
      </c>
      <c r="L66" s="17" t="s">
        <v>17</v>
      </c>
      <c r="M66" s="17"/>
    </row>
    <row r="67" spans="1:13" ht="14.5" x14ac:dyDescent="0.35">
      <c r="A67"/>
      <c r="B67" s="18">
        <v>51</v>
      </c>
      <c r="C67" s="19" t="str">
        <f t="shared" si="1"/>
        <v/>
      </c>
      <c r="D67" s="20" t="str">
        <f t="shared" si="2"/>
        <v/>
      </c>
      <c r="E67" s="23" t="str">
        <f t="shared" ref="E67:E116" si="4">IF(C67=B67,D67-D66,"")</f>
        <v/>
      </c>
      <c r="F67" s="17" t="str">
        <f>IF(C66=$F$10,SUM($F$17:F66),IF(C67=B67,IF(C67=$F$10,I66,ROUND(H67-G67,2)),""))</f>
        <v/>
      </c>
      <c r="G67" s="17" t="str">
        <f>IF(C66=$F$10,SUM($G$17:G66),IF(C67=B67,ROUND(((($F$12+1)^((D67-D66)/360))-1)*I66,2),""))</f>
        <v/>
      </c>
      <c r="H67" s="17" t="str">
        <f>IF(C66=$F$10,SUM($H$17:H66),IF(C67=B67,IF(C67=$F$10,F67+G67,ROUND($I$16/VLOOKUP("Totales",$D$17:$K$116,8,FALSE),2)),""))</f>
        <v/>
      </c>
      <c r="I67" s="17" t="str">
        <f t="shared" ref="I67:I116" si="5">IF(C67=B67,ROUND(I66-F67,2),"")</f>
        <v/>
      </c>
      <c r="J67" s="17"/>
      <c r="K67" s="25" t="str">
        <f>IF(C66=$F$10,SUM($K$17:K66),IF(C67=B67,1/((1+$F$13)^SUM($E$17:E67)),""))</f>
        <v/>
      </c>
      <c r="L67" s="17" t="s">
        <v>17</v>
      </c>
      <c r="M67" s="17"/>
    </row>
    <row r="68" spans="1:13" x14ac:dyDescent="0.25">
      <c r="B68" s="18">
        <v>52</v>
      </c>
      <c r="C68" s="19" t="str">
        <f t="shared" si="1"/>
        <v/>
      </c>
      <c r="D68" s="20" t="str">
        <f t="shared" si="2"/>
        <v/>
      </c>
      <c r="E68" s="23" t="str">
        <f t="shared" si="4"/>
        <v/>
      </c>
      <c r="F68" s="17" t="str">
        <f>IF(C67=$F$10,SUM($F$17:F67),IF(C68=B68,IF(C68=$F$10,I67,ROUND(H68-G68,2)),""))</f>
        <v/>
      </c>
      <c r="G68" s="17" t="str">
        <f>IF(C67=$F$10,SUM($G$17:G67),IF(C68=B68,ROUND(((($F$12+1)^((D68-D67)/360))-1)*I67,2),""))</f>
        <v/>
      </c>
      <c r="H68" s="17" t="str">
        <f>IF(C67=$F$10,SUM($H$17:H67),IF(C68=B68,IF(C68=$F$10,F68+G68,ROUND($I$16/VLOOKUP("Totales",$D$17:$K$116,8,FALSE),2)),""))</f>
        <v/>
      </c>
      <c r="I68" s="17" t="str">
        <f t="shared" si="5"/>
        <v/>
      </c>
      <c r="J68" s="17"/>
      <c r="K68" s="25" t="str">
        <f>IF(C67=$F$10,SUM($K$17:K67),IF(C68=B68,1/((1+$F$13)^SUM($E$17:E68)),""))</f>
        <v/>
      </c>
    </row>
    <row r="69" spans="1:13" x14ac:dyDescent="0.25">
      <c r="B69" s="18">
        <v>53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IF(C68=$F$10,SUM($F$17:F68),IF(C69=B69,IF(C69=$F$10,I68,ROUND(H69-G69,2)),""))</f>
        <v/>
      </c>
      <c r="G69" s="17" t="str">
        <f>IF(C68=$F$10,SUM($G$17:G68),IF(C69=B69,ROUND(((($F$12+1)^((D69-D68)/360))-1)*I68,2),""))</f>
        <v/>
      </c>
      <c r="H69" s="17" t="str">
        <f>IF(C68=$F$10,SUM($H$17:H68),IF(C69=B69,IF(C69=$F$10,F69+G69,ROUND($I$16/VLOOKUP("Totales",$D$17:$K$116,8,FALSE),2)),""))</f>
        <v/>
      </c>
      <c r="I69" s="17" t="str">
        <f t="shared" si="5"/>
        <v/>
      </c>
      <c r="J69" s="17"/>
      <c r="K69" s="25" t="str">
        <f>IF(C68=$F$10,SUM($K$17:K68),IF(C69=B69,1/((1+$F$13)^SUM($E$17:E69)),""))</f>
        <v/>
      </c>
    </row>
    <row r="70" spans="1:13" x14ac:dyDescent="0.25">
      <c r="B70" s="18">
        <v>54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IF(C69=$F$10,SUM($F$17:F69),IF(C70=B70,IF(C70=$F$10,I69,ROUND(H70-G70,2)),""))</f>
        <v/>
      </c>
      <c r="G70" s="17" t="str">
        <f>IF(C69=$F$10,SUM($G$17:G69),IF(C70=B70,ROUND(((($F$12+1)^((D70-D69)/360))-1)*I69,2),""))</f>
        <v/>
      </c>
      <c r="H70" s="17" t="str">
        <f>IF(C69=$F$10,SUM($H$17:H69),IF(C70=B70,IF(C70=$F$10,F70+G70,ROUND($I$16/VLOOKUP("Totales",$D$17:$K$116,8,FALSE),2)),""))</f>
        <v/>
      </c>
      <c r="I70" s="17" t="str">
        <f t="shared" si="5"/>
        <v/>
      </c>
      <c r="J70" s="17"/>
      <c r="K70" s="25" t="str">
        <f>IF(C69=$F$10,SUM($K$17:K69),IF(C70=B70,1/((1+$F$13)^SUM($E$17:E70)),""))</f>
        <v/>
      </c>
    </row>
    <row r="71" spans="1:13" x14ac:dyDescent="0.25">
      <c r="B71" s="18">
        <v>55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IF(C70=$F$10,SUM($F$17:F70),IF(C71=B71,IF(C71=$F$10,I70,ROUND(H71-G71,2)),""))</f>
        <v/>
      </c>
      <c r="G71" s="17" t="str">
        <f>IF(C70=$F$10,SUM($G$17:G70),IF(C71=B71,ROUND(((($F$12+1)^((D71-D70)/360))-1)*I70,2),""))</f>
        <v/>
      </c>
      <c r="H71" s="17" t="str">
        <f>IF(C70=$F$10,SUM($H$17:H70),IF(C71=B71,IF(C71=$F$10,F71+G71,ROUND($I$16/VLOOKUP("Totales",$D$17:$K$116,8,FALSE),2)),""))</f>
        <v/>
      </c>
      <c r="I71" s="17" t="str">
        <f t="shared" si="5"/>
        <v/>
      </c>
      <c r="J71" s="17"/>
      <c r="K71" s="25" t="str">
        <f>IF(C70=$F$10,SUM($K$17:K70),IF(C71=B71,1/((1+$F$13)^SUM($E$17:E71)),""))</f>
        <v/>
      </c>
    </row>
    <row r="72" spans="1:13" x14ac:dyDescent="0.25">
      <c r="B72" s="18">
        <v>56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IF(C71=$F$10,SUM($F$17:F71),IF(C72=B72,IF(C72=$F$10,I71,ROUND(H72-G72,2)),""))</f>
        <v/>
      </c>
      <c r="G72" s="17" t="str">
        <f>IF(C71=$F$10,SUM($G$17:G71),IF(C72=B72,ROUND(((($F$12+1)^((D72-D71)/360))-1)*I71,2),""))</f>
        <v/>
      </c>
      <c r="H72" s="17" t="str">
        <f>IF(C71=$F$10,SUM($H$17:H71),IF(C72=B72,IF(C72=$F$10,F72+G72,ROUND($I$16/VLOOKUP("Totales",$D$17:$K$116,8,FALSE),2)),""))</f>
        <v/>
      </c>
      <c r="I72" s="17" t="str">
        <f t="shared" si="5"/>
        <v/>
      </c>
      <c r="J72" s="17"/>
      <c r="K72" s="25" t="str">
        <f>IF(C71=$F$10,SUM($K$17:K71),IF(C72=B72,1/((1+$F$13)^SUM($E$17:E72)),""))</f>
        <v/>
      </c>
    </row>
    <row r="73" spans="1:13" x14ac:dyDescent="0.25">
      <c r="B73" s="18">
        <v>57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IF(C72=$F$10,SUM($F$17:F72),IF(C73=B73,IF(C73=$F$10,I72,ROUND(H73-G73,2)),""))</f>
        <v/>
      </c>
      <c r="G73" s="17" t="str">
        <f>IF(C72=$F$10,SUM($G$17:G72),IF(C73=B73,ROUND(((($F$12+1)^((D73-D72)/360))-1)*I72,2),""))</f>
        <v/>
      </c>
      <c r="H73" s="17" t="str">
        <f>IF(C72=$F$10,SUM($H$17:H72),IF(C73=B73,IF(C73=$F$10,F73+G73,ROUND($I$16/VLOOKUP("Totales",$D$17:$K$116,8,FALSE),2)),""))</f>
        <v/>
      </c>
      <c r="I73" s="17" t="str">
        <f t="shared" si="5"/>
        <v/>
      </c>
      <c r="J73" s="17"/>
      <c r="K73" s="25" t="str">
        <f>IF(C72=$F$10,SUM($K$17:K72),IF(C73=B73,1/((1+$F$13)^SUM($E$17:E73)),""))</f>
        <v/>
      </c>
    </row>
    <row r="74" spans="1:13" x14ac:dyDescent="0.25">
      <c r="B74" s="18">
        <v>58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IF(C73=$F$10,SUM($F$17:F73),IF(C74=B74,IF(C74=$F$10,I73,ROUND(H74-G74,2)),""))</f>
        <v/>
      </c>
      <c r="G74" s="17" t="str">
        <f>IF(C73=$F$10,SUM($G$17:G73),IF(C74=B74,ROUND(((($F$12+1)^((D74-D73)/360))-1)*I73,2),""))</f>
        <v/>
      </c>
      <c r="H74" s="17" t="str">
        <f>IF(C73=$F$10,SUM($H$17:H73),IF(C74=B74,IF(C74=$F$10,F74+G74,ROUND($I$16/VLOOKUP("Totales",$D$17:$K$116,8,FALSE),2)),""))</f>
        <v/>
      </c>
      <c r="I74" s="17" t="str">
        <f t="shared" si="5"/>
        <v/>
      </c>
      <c r="J74" s="17"/>
      <c r="K74" s="25" t="str">
        <f>IF(C73=$F$10,SUM($K$17:K73),IF(C74=B74,1/((1+$F$13)^SUM($E$17:E74)),""))</f>
        <v/>
      </c>
    </row>
    <row r="75" spans="1:13" x14ac:dyDescent="0.25">
      <c r="B75" s="18">
        <v>59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IF(C74=$F$10,SUM($F$17:F74),IF(C75=B75,IF(C75=$F$10,I74,ROUND(H75-G75,2)),""))</f>
        <v/>
      </c>
      <c r="G75" s="17" t="str">
        <f>IF(C74=$F$10,SUM($G$17:G74),IF(C75=B75,ROUND(((($F$12+1)^((D75-D74)/360))-1)*I74,2),""))</f>
        <v/>
      </c>
      <c r="H75" s="17" t="str">
        <f>IF(C74=$F$10,SUM($H$17:H74),IF(C75=B75,IF(C75=$F$10,F75+G75,ROUND($I$16/VLOOKUP("Totales",$D$17:$K$116,8,FALSE),2)),""))</f>
        <v/>
      </c>
      <c r="I75" s="17" t="str">
        <f t="shared" si="5"/>
        <v/>
      </c>
      <c r="J75" s="17"/>
      <c r="K75" s="25" t="str">
        <f>IF(C74=$F$10,SUM($K$17:K74),IF(C75=B75,1/((1+$F$13)^SUM($E$17:E75)),""))</f>
        <v/>
      </c>
    </row>
    <row r="76" spans="1:13" x14ac:dyDescent="0.25">
      <c r="B76" s="18">
        <v>60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IF(C75=$F$10,SUM($F$17:F75),IF(C76=B76,IF(C76=$F$10,I75,ROUND(H76-G76,2)),""))</f>
        <v/>
      </c>
      <c r="G76" s="17" t="str">
        <f>IF(C75=$F$10,SUM($G$17:G75),IF(C76=B76,ROUND(((($F$12+1)^((D76-D75)/360))-1)*I75,2),""))</f>
        <v/>
      </c>
      <c r="H76" s="17" t="str">
        <f>IF(C75=$F$10,SUM($H$17:H75),IF(C76=B76,IF(C76=$F$10,F76+G76,ROUND($I$16/VLOOKUP("Totales",$D$17:$K$116,8,FALSE),2)),""))</f>
        <v/>
      </c>
      <c r="I76" s="17" t="str">
        <f t="shared" si="5"/>
        <v/>
      </c>
      <c r="J76" s="17"/>
      <c r="K76" s="25" t="str">
        <f>IF(C75=$F$10,SUM($K$17:K75),IF(C76=B76,1/((1+$F$13)^SUM($E$17:E76)),""))</f>
        <v/>
      </c>
    </row>
    <row r="77" spans="1:13" x14ac:dyDescent="0.25">
      <c r="B77" s="18">
        <v>61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IF(C76=$F$10,SUM($F$17:F76),IF(C77=B77,IF(C77=$F$10,I76,ROUND(H77-G77,2)),""))</f>
        <v/>
      </c>
      <c r="G77" s="17" t="str">
        <f>IF(C76=$F$10,SUM($G$17:G76),IF(C77=B77,ROUND(((($F$12+1)^((D77-D76)/360))-1)*I76,2),""))</f>
        <v/>
      </c>
      <c r="H77" s="17" t="str">
        <f>IF(C76=$F$10,SUM($H$17:H76),IF(C77=B77,IF(C77=$F$10,F77+G77,ROUND($I$16/VLOOKUP("Totales",$D$17:$K$116,8,FALSE),2)),""))</f>
        <v/>
      </c>
      <c r="I77" s="17" t="str">
        <f t="shared" si="5"/>
        <v/>
      </c>
      <c r="J77" s="17"/>
      <c r="K77" s="25" t="str">
        <f>IF(C76=$F$10,SUM($K$17:K76),IF(C77=B77,1/((1+$F$13)^SUM($E$17:E77)),""))</f>
        <v/>
      </c>
    </row>
    <row r="78" spans="1:13" x14ac:dyDescent="0.25">
      <c r="B78" s="18">
        <v>62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IF(C77=$F$10,SUM($F$17:F77),IF(C78=B78,IF(C78=$F$10,I77,ROUND(H78-G78,2)),""))</f>
        <v/>
      </c>
      <c r="G78" s="17" t="str">
        <f>IF(C77=$F$10,SUM($G$17:G77),IF(C78=B78,ROUND(((($F$12+1)^((D78-D77)/360))-1)*I77,2),""))</f>
        <v/>
      </c>
      <c r="H78" s="17" t="str">
        <f>IF(C77=$F$10,SUM($H$17:H77),IF(C78=B78,IF(C78=$F$10,F78+G78,ROUND($I$16/VLOOKUP("Totales",$D$17:$K$116,8,FALSE),2)),""))</f>
        <v/>
      </c>
      <c r="I78" s="17" t="str">
        <f t="shared" si="5"/>
        <v/>
      </c>
      <c r="J78" s="17"/>
      <c r="K78" s="25" t="str">
        <f>IF(C77=$F$10,SUM($K$17:K77),IF(C78=B78,1/((1+$F$13)^SUM($E$17:E78)),""))</f>
        <v/>
      </c>
    </row>
    <row r="79" spans="1:13" x14ac:dyDescent="0.25">
      <c r="B79" s="18">
        <v>63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IF(C78=$F$10,SUM($F$17:F78),IF(C79=B79,IF(C79=$F$10,I78,ROUND(H79-G79,2)),""))</f>
        <v/>
      </c>
      <c r="G79" s="17" t="str">
        <f>IF(C78=$F$10,SUM($G$17:G78),IF(C79=B79,ROUND(((($F$12+1)^((D79-D78)/360))-1)*I78,2),""))</f>
        <v/>
      </c>
      <c r="H79" s="17" t="str">
        <f>IF(C78=$F$10,SUM($H$17:H78),IF(C79=B79,IF(C79=$F$10,F79+G79,ROUND($I$16/VLOOKUP("Totales",$D$17:$K$116,8,FALSE),2)),""))</f>
        <v/>
      </c>
      <c r="I79" s="17" t="str">
        <f t="shared" si="5"/>
        <v/>
      </c>
      <c r="J79" s="17"/>
      <c r="K79" s="25" t="str">
        <f>IF(C78=$F$10,SUM($K$17:K78),IF(C79=B79,1/((1+$F$13)^SUM($E$17:E79)),""))</f>
        <v/>
      </c>
    </row>
    <row r="80" spans="1:13" x14ac:dyDescent="0.25">
      <c r="B80" s="18">
        <v>64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IF(C79=$F$10,SUM($F$17:F79),IF(C80=B80,IF(C80=$F$10,I79,ROUND(H80-G80,2)),""))</f>
        <v/>
      </c>
      <c r="G80" s="17" t="str">
        <f>IF(C79=$F$10,SUM($G$17:G79),IF(C80=B80,ROUND(((($F$12+1)^((D80-D79)/360))-1)*I79,2),""))</f>
        <v/>
      </c>
      <c r="H80" s="17" t="str">
        <f>IF(C79=$F$10,SUM($H$17:H79),IF(C80=B80,IF(C80=$F$10,F80+G80,ROUND($I$16/VLOOKUP("Totales",$D$17:$K$116,8,FALSE),2)),""))</f>
        <v/>
      </c>
      <c r="I80" s="17" t="str">
        <f t="shared" si="5"/>
        <v/>
      </c>
      <c r="J80" s="17"/>
      <c r="K80" s="25" t="str">
        <f>IF(C79=$F$10,SUM($K$17:K79),IF(C80=B80,1/((1+$F$13)^SUM($E$17:E80)),""))</f>
        <v/>
      </c>
    </row>
    <row r="81" spans="2:11" x14ac:dyDescent="0.25">
      <c r="B81" s="18">
        <v>65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IF(C80=$F$10,SUM($F$17:F80),IF(C81=B81,IF(C81=$F$10,I80,ROUND(H81-G81,2)),""))</f>
        <v/>
      </c>
      <c r="G81" s="17" t="str">
        <f>IF(C80=$F$10,SUM($G$17:G80),IF(C81=B81,ROUND(((($F$12+1)^((D81-D80)/360))-1)*I80,2),""))</f>
        <v/>
      </c>
      <c r="H81" s="17" t="str">
        <f>IF(C80=$F$10,SUM($H$17:H80),IF(C81=B81,IF(C81=$F$10,F81+G81,ROUND($I$16/VLOOKUP("Totales",$D$17:$K$116,8,FALSE),2)),""))</f>
        <v/>
      </c>
      <c r="I81" s="17" t="str">
        <f t="shared" si="5"/>
        <v/>
      </c>
      <c r="J81" s="17"/>
      <c r="K81" s="25" t="str">
        <f>IF(C80=$F$10,SUM($K$17:K80),IF(C81=B81,1/((1+$F$13)^SUM($E$17:E81)),""))</f>
        <v/>
      </c>
    </row>
    <row r="82" spans="2:11" x14ac:dyDescent="0.25">
      <c r="B82" s="18">
        <v>66</v>
      </c>
      <c r="C82" s="19" t="str">
        <f t="shared" ref="C82:C116" si="6">IF(B82&lt;=$F$10,B82,"")</f>
        <v/>
      </c>
      <c r="D82" s="20" t="str">
        <f t="shared" ref="D82:D115" si="7">IF(C81=$F$10,"Totales",IF(B82&lt;=$F$10,DATE(IF(MONTH(D81)=12,YEAR(D81)+1,YEAR(D81)),IF(MONTH(D81)=12,1,IF(DAY(D81)&lt;10,MONTH(D81),MONTH(D81)+1)),28),""))</f>
        <v/>
      </c>
      <c r="E82" s="23" t="str">
        <f t="shared" si="4"/>
        <v/>
      </c>
      <c r="F82" s="17" t="str">
        <f>IF(C81=$F$10,SUM($F$17:F81),IF(C82=B82,IF(C82=$F$10,I81,ROUND(H82-G82,2)),""))</f>
        <v/>
      </c>
      <c r="G82" s="17" t="str">
        <f>IF(C81=$F$10,SUM($G$17:G81),IF(C82=B82,ROUND(((($F$12+1)^((D82-D81)/360))-1)*I81,2),""))</f>
        <v/>
      </c>
      <c r="H82" s="17" t="str">
        <f>IF(C81=$F$10,SUM($H$17:H81),IF(C82=B82,IF(C82=$F$10,F82+G82,ROUND($I$16/VLOOKUP("Totales",$D$17:$K$116,8,FALSE),2)),""))</f>
        <v/>
      </c>
      <c r="I82" s="17" t="str">
        <f t="shared" si="5"/>
        <v/>
      </c>
      <c r="J82" s="17"/>
      <c r="K82" s="25" t="str">
        <f>IF(C81=$F$10,SUM($K$17:K81),IF(C82=B82,1/((1+$F$13)^SUM($E$17:E82)),""))</f>
        <v/>
      </c>
    </row>
    <row r="83" spans="2:11" x14ac:dyDescent="0.25">
      <c r="B83" s="18">
        <v>67</v>
      </c>
      <c r="C83" s="19" t="str">
        <f t="shared" si="6"/>
        <v/>
      </c>
      <c r="D83" s="20" t="str">
        <f t="shared" si="7"/>
        <v/>
      </c>
      <c r="E83" s="23" t="str">
        <f t="shared" si="4"/>
        <v/>
      </c>
      <c r="F83" s="17" t="str">
        <f>IF(C82=$F$10,SUM($F$17:F82),IF(C83=B83,IF(C83=$F$10,I82,ROUND(H83-G83,2)),""))</f>
        <v/>
      </c>
      <c r="G83" s="17" t="str">
        <f>IF(C82=$F$10,SUM($G$17:G82),IF(C83=B83,ROUND(((($F$12+1)^((D83-D82)/360))-1)*I82,2),""))</f>
        <v/>
      </c>
      <c r="H83" s="17" t="str">
        <f>IF(C82=$F$10,SUM($H$17:H82),IF(C83=B83,IF(C83=$F$10,F83+G83,ROUND($I$16/VLOOKUP("Totales",$D$17:$K$116,8,FALSE),2)),""))</f>
        <v/>
      </c>
      <c r="I83" s="17" t="str">
        <f t="shared" si="5"/>
        <v/>
      </c>
      <c r="J83" s="17"/>
      <c r="K83" s="25" t="str">
        <f>IF(C82=$F$10,SUM($K$17:K82),IF(C83=B83,1/((1+$F$13)^SUM($E$17:E83)),""))</f>
        <v/>
      </c>
    </row>
    <row r="84" spans="2:11" x14ac:dyDescent="0.25">
      <c r="B84" s="18">
        <v>68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IF(C83=$F$10,SUM($F$17:F83),IF(C84=B84,IF(C84=$F$10,I83,ROUND(H84-G84,2)),""))</f>
        <v/>
      </c>
      <c r="G84" s="17" t="str">
        <f>IF(C83=$F$10,SUM($G$17:G83),IF(C84=B84,ROUND(((($F$12+1)^((D84-D83)/360))-1)*I83,2),""))</f>
        <v/>
      </c>
      <c r="H84" s="17" t="str">
        <f>IF(C83=$F$10,SUM($H$17:H83),IF(C84=B84,IF(C84=$F$10,F84+G84,ROUND($I$16/VLOOKUP("Totales",$D$17:$K$116,8,FALSE),2)),""))</f>
        <v/>
      </c>
      <c r="I84" s="17" t="str">
        <f t="shared" si="5"/>
        <v/>
      </c>
      <c r="J84" s="17"/>
      <c r="K84" s="25" t="str">
        <f>IF(C83=$F$10,SUM($K$17:K83),IF(C84=B84,1/((1+$F$13)^SUM($E$17:E84)),""))</f>
        <v/>
      </c>
    </row>
    <row r="85" spans="2:11" x14ac:dyDescent="0.25">
      <c r="B85" s="18">
        <v>69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IF(C84=$F$10,SUM($F$17:F84),IF(C85=B85,IF(C85=$F$10,I84,ROUND(H85-G85,2)),""))</f>
        <v/>
      </c>
      <c r="G85" s="17" t="str">
        <f>IF(C84=$F$10,SUM($G$17:G84),IF(C85=B85,ROUND(((($F$12+1)^((D85-D84)/360))-1)*I84,2),""))</f>
        <v/>
      </c>
      <c r="H85" s="17" t="str">
        <f>IF(C84=$F$10,SUM($H$17:H84),IF(C85=B85,IF(C85=$F$10,F85+G85,ROUND($I$16/VLOOKUP("Totales",$D$17:$K$116,8,FALSE),2)),""))</f>
        <v/>
      </c>
      <c r="I85" s="17" t="str">
        <f t="shared" si="5"/>
        <v/>
      </c>
      <c r="J85" s="17"/>
      <c r="K85" s="25" t="str">
        <f>IF(C84=$F$10,SUM($K$17:K84),IF(C85=B85,1/((1+$F$13)^SUM($E$17:E85)),""))</f>
        <v/>
      </c>
    </row>
    <row r="86" spans="2:11" x14ac:dyDescent="0.25">
      <c r="B86" s="18">
        <v>70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IF(C85=$F$10,SUM($F$17:F85),IF(C86=B86,IF(C86=$F$10,I85,ROUND(H86-G86,2)),""))</f>
        <v/>
      </c>
      <c r="G86" s="17" t="str">
        <f>IF(C85=$F$10,SUM($G$17:G85),IF(C86=B86,ROUND(((($F$12+1)^((D86-D85)/360))-1)*I85,2),""))</f>
        <v/>
      </c>
      <c r="H86" s="17" t="str">
        <f>IF(C85=$F$10,SUM($H$17:H85),IF(C86=B86,IF(C86=$F$10,F86+G86,ROUND($I$16/VLOOKUP("Totales",$D$17:$K$116,8,FALSE),2)),""))</f>
        <v/>
      </c>
      <c r="I86" s="17" t="str">
        <f t="shared" si="5"/>
        <v/>
      </c>
      <c r="J86" s="17"/>
      <c r="K86" s="25" t="str">
        <f>IF(C85=$F$10,SUM($K$17:K85),IF(C86=B86,1/((1+$F$13)^SUM($E$17:E86)),""))</f>
        <v/>
      </c>
    </row>
    <row r="87" spans="2:11" x14ac:dyDescent="0.25">
      <c r="B87" s="18">
        <v>71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IF(C86=$F$10,SUM($F$17:F86),IF(C87=B87,IF(C87=$F$10,I86,ROUND(H87-G87,2)),""))</f>
        <v/>
      </c>
      <c r="G87" s="17" t="str">
        <f>IF(C86=$F$10,SUM($G$17:G86),IF(C87=B87,ROUND(((($F$12+1)^((D87-D86)/360))-1)*I86,2),""))</f>
        <v/>
      </c>
      <c r="H87" s="17" t="str">
        <f>IF(C86=$F$10,SUM($H$17:H86),IF(C87=B87,IF(C87=$F$10,F87+G87,ROUND($I$16/VLOOKUP("Totales",$D$17:$K$116,8,FALSE),2)),""))</f>
        <v/>
      </c>
      <c r="I87" s="17" t="str">
        <f t="shared" si="5"/>
        <v/>
      </c>
      <c r="J87" s="17"/>
      <c r="K87" s="25" t="str">
        <f>IF(C86=$F$10,SUM($K$17:K86),IF(C87=B87,1/((1+$F$13)^SUM($E$17:E87)),""))</f>
        <v/>
      </c>
    </row>
    <row r="88" spans="2:11" x14ac:dyDescent="0.25">
      <c r="B88" s="18">
        <v>72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IF(C87=$F$10,SUM($F$17:F87),IF(C88=B88,IF(C88=$F$10,I87,ROUND(H88-G88,2)),""))</f>
        <v/>
      </c>
      <c r="G88" s="17" t="str">
        <f>IF(C87=$F$10,SUM($G$17:G87),IF(C88=B88,ROUND(((($F$12+1)^((D88-D87)/360))-1)*I87,2),""))</f>
        <v/>
      </c>
      <c r="H88" s="17" t="str">
        <f>IF(C87=$F$10,SUM($H$17:H87),IF(C88=B88,IF(C88=$F$10,F88+G88,ROUND($I$16/VLOOKUP("Totales",$D$17:$K$116,8,FALSE),2)),""))</f>
        <v/>
      </c>
      <c r="I88" s="17" t="str">
        <f t="shared" si="5"/>
        <v/>
      </c>
      <c r="J88" s="17"/>
      <c r="K88" s="25" t="str">
        <f>IF(C87=$F$10,SUM($K$17:K87),IF(C88=B88,1/((1+$F$13)^SUM($E$17:E88)),""))</f>
        <v/>
      </c>
    </row>
    <row r="89" spans="2:11" x14ac:dyDescent="0.25">
      <c r="B89" s="18">
        <v>73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IF(C88=$F$10,SUM($F$17:F88),IF(C89=B89,IF(C89=$F$10,I88,ROUND(H89-G89,2)),""))</f>
        <v/>
      </c>
      <c r="G89" s="17" t="str">
        <f>IF(C88=$F$10,SUM($G$17:G88),IF(C89=B89,ROUND(((($F$12+1)^((D89-D88)/360))-1)*I88,2),""))</f>
        <v/>
      </c>
      <c r="H89" s="17" t="str">
        <f>IF(C88=$F$10,SUM($H$17:H88),IF(C89=B89,IF(C89=$F$10,F89+G89,ROUND($I$16/VLOOKUP("Totales",$D$17:$K$116,8,FALSE),2)),""))</f>
        <v/>
      </c>
      <c r="I89" s="17" t="str">
        <f t="shared" si="5"/>
        <v/>
      </c>
      <c r="J89" s="17"/>
      <c r="K89" s="25" t="str">
        <f>IF(C88=$F$10,SUM($K$17:K88),IF(C89=B89,1/((1+$F$13)^SUM($E$17:E89)),""))</f>
        <v/>
      </c>
    </row>
    <row r="90" spans="2:11" x14ac:dyDescent="0.25">
      <c r="B90" s="18">
        <v>74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IF(C89=$F$10,SUM($F$17:F89),IF(C90=B90,IF(C90=$F$10,I89,ROUND(H90-G90,2)),""))</f>
        <v/>
      </c>
      <c r="G90" s="17" t="str">
        <f>IF(C89=$F$10,SUM($G$17:G89),IF(C90=B90,ROUND(((($F$12+1)^((D90-D89)/360))-1)*I89,2),""))</f>
        <v/>
      </c>
      <c r="H90" s="17" t="str">
        <f>IF(C89=$F$10,SUM($H$17:H89),IF(C90=B90,IF(C90=$F$10,F90+G90,ROUND($I$16/VLOOKUP("Totales",$D$17:$K$116,8,FALSE),2)),""))</f>
        <v/>
      </c>
      <c r="I90" s="17" t="str">
        <f t="shared" si="5"/>
        <v/>
      </c>
      <c r="J90" s="17"/>
      <c r="K90" s="25" t="str">
        <f>IF(C89=$F$10,SUM($K$17:K89),IF(C90=B90,1/((1+$F$13)^SUM($E$17:E90)),""))</f>
        <v/>
      </c>
    </row>
    <row r="91" spans="2:11" x14ac:dyDescent="0.25">
      <c r="B91" s="18">
        <v>75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IF(C90=$F$10,SUM($F$17:F90),IF(C91=B91,IF(C91=$F$10,I90,ROUND(H91-G91,2)),""))</f>
        <v/>
      </c>
      <c r="G91" s="17" t="str">
        <f>IF(C90=$F$10,SUM($G$17:G90),IF(C91=B91,ROUND(((($F$12+1)^((D91-D90)/360))-1)*I90,2),""))</f>
        <v/>
      </c>
      <c r="H91" s="17" t="str">
        <f>IF(C90=$F$10,SUM($H$17:H90),IF(C91=B91,IF(C91=$F$10,F91+G91,ROUND($I$16/VLOOKUP("Totales",$D$17:$K$116,8,FALSE),2)),""))</f>
        <v/>
      </c>
      <c r="I91" s="17" t="str">
        <f t="shared" si="5"/>
        <v/>
      </c>
      <c r="J91" s="17"/>
      <c r="K91" s="25" t="str">
        <f>IF(C90=$F$10,SUM($K$17:K90),IF(C91=B91,1/((1+$F$13)^SUM($E$17:E91)),""))</f>
        <v/>
      </c>
    </row>
    <row r="92" spans="2:11" x14ac:dyDescent="0.25">
      <c r="B92" s="18">
        <v>76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IF(C91=$F$10,SUM($F$17:F91),IF(C92=B92,IF(C92=$F$10,I91,ROUND(H92-G92,2)),""))</f>
        <v/>
      </c>
      <c r="G92" s="17" t="str">
        <f>IF(C91=$F$10,SUM($G$17:G91),IF(C92=B92,ROUND(((($F$12+1)^((D92-D91)/360))-1)*I91,2),""))</f>
        <v/>
      </c>
      <c r="H92" s="17" t="str">
        <f>IF(C91=$F$10,SUM($H$17:H91),IF(C92=B92,IF(C92=$F$10,F92+G92,ROUND($I$16/VLOOKUP("Totales",$D$17:$K$116,8,FALSE),2)),""))</f>
        <v/>
      </c>
      <c r="I92" s="17" t="str">
        <f t="shared" si="5"/>
        <v/>
      </c>
      <c r="J92" s="17"/>
      <c r="K92" s="25" t="str">
        <f>IF(C91=$F$10,SUM($K$17:K91),IF(C92=B92,1/((1+$F$13)^SUM($E$17:E92)),""))</f>
        <v/>
      </c>
    </row>
    <row r="93" spans="2:11" x14ac:dyDescent="0.25">
      <c r="B93" s="18">
        <v>77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IF(C92=$F$10,SUM($F$17:F92),IF(C93=B93,IF(C93=$F$10,I92,ROUND(H93-G93,2)),""))</f>
        <v/>
      </c>
      <c r="G93" s="17" t="str">
        <f>IF(C92=$F$10,SUM($G$17:G92),IF(C93=B93,ROUND(((($F$12+1)^((D93-D92)/360))-1)*I92,2),""))</f>
        <v/>
      </c>
      <c r="H93" s="17" t="str">
        <f>IF(C92=$F$10,SUM($H$17:H92),IF(C93=B93,IF(C93=$F$10,F93+G93,ROUND($I$16/VLOOKUP("Totales",$D$17:$K$116,8,FALSE),2)),""))</f>
        <v/>
      </c>
      <c r="I93" s="17" t="str">
        <f t="shared" si="5"/>
        <v/>
      </c>
      <c r="J93" s="17"/>
      <c r="K93" s="25" t="str">
        <f>IF(C92=$F$10,SUM($K$17:K92),IF(C93=B93,1/((1+$F$13)^SUM($E$17:E93)),""))</f>
        <v/>
      </c>
    </row>
    <row r="94" spans="2:11" x14ac:dyDescent="0.25">
      <c r="B94" s="18">
        <v>78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IF(C93=$F$10,SUM($F$17:F93),IF(C94=B94,IF(C94=$F$10,I93,ROUND(H94-G94,2)),""))</f>
        <v/>
      </c>
      <c r="G94" s="17" t="str">
        <f>IF(C93=$F$10,SUM($G$17:G93),IF(C94=B94,ROUND(((($F$12+1)^((D94-D93)/360))-1)*I93,2),""))</f>
        <v/>
      </c>
      <c r="H94" s="17" t="str">
        <f>IF(C93=$F$10,SUM($H$17:H93),IF(C94=B94,IF(C94=$F$10,F94+G94,ROUND($I$16/VLOOKUP("Totales",$D$17:$K$116,8,FALSE),2)),""))</f>
        <v/>
      </c>
      <c r="I94" s="17" t="str">
        <f t="shared" si="5"/>
        <v/>
      </c>
      <c r="J94" s="17"/>
      <c r="K94" s="25" t="str">
        <f>IF(C93=$F$10,SUM($K$17:K93),IF(C94=B94,1/((1+$F$13)^SUM($E$17:E94)),""))</f>
        <v/>
      </c>
    </row>
    <row r="95" spans="2:11" x14ac:dyDescent="0.25">
      <c r="B95" s="18">
        <v>79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IF(C94=$F$10,SUM($F$17:F94),IF(C95=B95,IF(C95=$F$10,I94,ROUND(H95-G95,2)),""))</f>
        <v/>
      </c>
      <c r="G95" s="17" t="str">
        <f>IF(C94=$F$10,SUM($G$17:G94),IF(C95=B95,ROUND(((($F$12+1)^((D95-D94)/360))-1)*I94,2),""))</f>
        <v/>
      </c>
      <c r="H95" s="17" t="str">
        <f>IF(C94=$F$10,SUM($H$17:H94),IF(C95=B95,IF(C95=$F$10,F95+G95,ROUND($I$16/VLOOKUP("Totales",$D$17:$K$116,8,FALSE),2)),""))</f>
        <v/>
      </c>
      <c r="I95" s="17" t="str">
        <f t="shared" si="5"/>
        <v/>
      </c>
      <c r="J95" s="17"/>
      <c r="K95" s="25" t="str">
        <f>IF(C94=$F$10,SUM($K$17:K94),IF(C95=B95,1/((1+$F$13)^SUM($E$17:E95)),""))</f>
        <v/>
      </c>
    </row>
    <row r="96" spans="2:11" x14ac:dyDescent="0.25">
      <c r="B96" s="18">
        <v>80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IF(C95=$F$10,SUM($F$17:F95),IF(C96=B96,IF(C96=$F$10,I95,ROUND(H96-G96,2)),""))</f>
        <v/>
      </c>
      <c r="G96" s="17" t="str">
        <f>IF(C95=$F$10,SUM($G$17:G95),IF(C96=B96,ROUND(((($F$12+1)^((D96-D95)/360))-1)*I95,2),""))</f>
        <v/>
      </c>
      <c r="H96" s="17" t="str">
        <f>IF(C95=$F$10,SUM($H$17:H95),IF(C96=B96,IF(C96=$F$10,F96+G96,ROUND($I$16/VLOOKUP("Totales",$D$17:$K$116,8,FALSE),2)),""))</f>
        <v/>
      </c>
      <c r="I96" s="17" t="str">
        <f t="shared" si="5"/>
        <v/>
      </c>
      <c r="J96" s="17"/>
      <c r="K96" s="25" t="str">
        <f>IF(C95=$F$10,SUM($K$17:K95),IF(C96=B96,1/((1+$F$13)^SUM($E$17:E96)),""))</f>
        <v/>
      </c>
    </row>
    <row r="97" spans="2:11" x14ac:dyDescent="0.25">
      <c r="B97" s="18">
        <v>81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IF(C96=$F$10,SUM($F$17:F96),IF(C97=B97,IF(C97=$F$10,I96,ROUND(H97-G97,2)),""))</f>
        <v/>
      </c>
      <c r="G97" s="17" t="str">
        <f>IF(C96=$F$10,SUM($G$17:G96),IF(C97=B97,ROUND(((($F$12+1)^((D97-D96)/360))-1)*I96,2),""))</f>
        <v/>
      </c>
      <c r="H97" s="17" t="str">
        <f>IF(C96=$F$10,SUM($H$17:H96),IF(C97=B97,IF(C97=$F$10,F97+G97,ROUND($I$16/VLOOKUP("Totales",$D$17:$K$116,8,FALSE),2)),""))</f>
        <v/>
      </c>
      <c r="I97" s="17" t="str">
        <f t="shared" si="5"/>
        <v/>
      </c>
      <c r="J97" s="17"/>
      <c r="K97" s="25" t="str">
        <f>IF(C96=$F$10,SUM($K$17:K96),IF(C97=B97,1/((1+$F$13)^SUM($E$17:E97)),""))</f>
        <v/>
      </c>
    </row>
    <row r="98" spans="2:11" x14ac:dyDescent="0.25">
      <c r="B98" s="18">
        <v>82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IF(C97=$F$10,SUM($F$17:F97),IF(C98=B98,IF(C98=$F$10,I97,ROUND(H98-G98,2)),""))</f>
        <v/>
      </c>
      <c r="G98" s="17" t="str">
        <f>IF(C97=$F$10,SUM($G$17:G97),IF(C98=B98,ROUND(((($F$12+1)^((D98-D97)/360))-1)*I97,2),""))</f>
        <v/>
      </c>
      <c r="H98" s="17" t="str">
        <f>IF(C97=$F$10,SUM($H$17:H97),IF(C98=B98,IF(C98=$F$10,F98+G98,ROUND($I$16/VLOOKUP("Totales",$D$17:$K$116,8,FALSE),2)),""))</f>
        <v/>
      </c>
      <c r="I98" s="17" t="str">
        <f t="shared" si="5"/>
        <v/>
      </c>
      <c r="J98" s="17"/>
      <c r="K98" s="25" t="str">
        <f>IF(C97=$F$10,SUM($K$17:K97),IF(C98=B98,1/((1+$F$13)^SUM($E$17:E98)),""))</f>
        <v/>
      </c>
    </row>
    <row r="99" spans="2:11" x14ac:dyDescent="0.25">
      <c r="B99" s="18">
        <v>83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IF(C98=$F$10,SUM($F$17:F98),IF(C99=B99,IF(C99=$F$10,I98,ROUND(H99-G99,2)),""))</f>
        <v/>
      </c>
      <c r="G99" s="17" t="str">
        <f>IF(C98=$F$10,SUM($G$17:G98),IF(C99=B99,ROUND(((($F$12+1)^((D99-D98)/360))-1)*I98,2),""))</f>
        <v/>
      </c>
      <c r="H99" s="17" t="str">
        <f>IF(C98=$F$10,SUM($H$17:H98),IF(C99=B99,IF(C99=$F$10,F99+G99,ROUND($I$16/VLOOKUP("Totales",$D$17:$K$116,8,FALSE),2)),""))</f>
        <v/>
      </c>
      <c r="I99" s="17" t="str">
        <f t="shared" si="5"/>
        <v/>
      </c>
      <c r="J99" s="17"/>
      <c r="K99" s="25" t="str">
        <f>IF(C98=$F$10,SUM($K$17:K98),IF(C99=B99,1/((1+$F$13)^SUM($E$17:E99)),""))</f>
        <v/>
      </c>
    </row>
    <row r="100" spans="2:11" x14ac:dyDescent="0.25">
      <c r="B100" s="18">
        <v>84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IF(C99=$F$10,SUM($F$17:F99),IF(C100=B100,IF(C100=$F$10,I99,ROUND(H100-G100,2)),""))</f>
        <v/>
      </c>
      <c r="G100" s="17" t="str">
        <f>IF(C99=$F$10,SUM($G$17:G99),IF(C100=B100,ROUND(((($F$12+1)^((D100-D99)/360))-1)*I99,2),""))</f>
        <v/>
      </c>
      <c r="H100" s="17" t="str">
        <f>IF(C99=$F$10,SUM($H$17:H99),IF(C100=B100,IF(C100=$F$10,F100+G100,ROUND($I$16/VLOOKUP("Totales",$D$17:$K$116,8,FALSE),2)),""))</f>
        <v/>
      </c>
      <c r="I100" s="17" t="str">
        <f t="shared" si="5"/>
        <v/>
      </c>
      <c r="J100" s="17"/>
      <c r="K100" s="25" t="str">
        <f>IF(C99=$F$10,SUM($K$17:K99),IF(C100=B100,1/((1+$F$13)^SUM($E$17:E100)),""))</f>
        <v/>
      </c>
    </row>
    <row r="101" spans="2:11" x14ac:dyDescent="0.25">
      <c r="B101" s="18">
        <v>85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IF(C100=$F$10,SUM($F$17:F100),IF(C101=B101,IF(C101=$F$10,I100,ROUND(H101-G101,2)),""))</f>
        <v/>
      </c>
      <c r="G101" s="17" t="str">
        <f>IF(C100=$F$10,SUM($G$17:G100),IF(C101=B101,ROUND(((($F$12+1)^((D101-D100)/360))-1)*I100,2),""))</f>
        <v/>
      </c>
      <c r="H101" s="17" t="str">
        <f>IF(C100=$F$10,SUM($H$17:H100),IF(C101=B101,IF(C101=$F$10,F101+G101,ROUND($I$16/VLOOKUP("Totales",$D$17:$K$116,8,FALSE),2)),""))</f>
        <v/>
      </c>
      <c r="I101" s="17" t="str">
        <f t="shared" si="5"/>
        <v/>
      </c>
      <c r="J101" s="17"/>
      <c r="K101" s="25" t="str">
        <f>IF(C100=$F$10,SUM($K$17:K100),IF(C101=B101,1/((1+$F$13)^SUM($E$17:E101)),""))</f>
        <v/>
      </c>
    </row>
    <row r="102" spans="2:11" x14ac:dyDescent="0.25">
      <c r="B102" s="18">
        <v>86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IF(C101=$F$10,SUM($F$17:F101),IF(C102=B102,IF(C102=$F$10,I101,ROUND(H102-G102,2)),""))</f>
        <v/>
      </c>
      <c r="G102" s="17" t="str">
        <f>IF(C101=$F$10,SUM($G$17:G101),IF(C102=B102,ROUND(((($F$12+1)^((D102-D101)/360))-1)*I101,2),""))</f>
        <v/>
      </c>
      <c r="H102" s="17" t="str">
        <f>IF(C101=$F$10,SUM($H$17:H101),IF(C102=B102,IF(C102=$F$10,F102+G102,ROUND($I$16/VLOOKUP("Totales",$D$17:$K$116,8,FALSE),2)),""))</f>
        <v/>
      </c>
      <c r="I102" s="17" t="str">
        <f t="shared" si="5"/>
        <v/>
      </c>
      <c r="J102" s="17"/>
      <c r="K102" s="25" t="str">
        <f>IF(C101=$F$10,SUM($K$17:K101),IF(C102=B102,1/((1+$F$13)^SUM($E$17:E102)),""))</f>
        <v/>
      </c>
    </row>
    <row r="103" spans="2:11" x14ac:dyDescent="0.25">
      <c r="B103" s="18">
        <v>87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IF(C102=$F$10,SUM($F$17:F102),IF(C103=B103,IF(C103=$F$10,I102,ROUND(H103-G103,2)),""))</f>
        <v/>
      </c>
      <c r="G103" s="17" t="str">
        <f>IF(C102=$F$10,SUM($G$17:G102),IF(C103=B103,ROUND(((($F$12+1)^((D103-D102)/360))-1)*I102,2),""))</f>
        <v/>
      </c>
      <c r="H103" s="17" t="str">
        <f>IF(C102=$F$10,SUM($H$17:H102),IF(C103=B103,IF(C103=$F$10,F103+G103,ROUND($I$16/VLOOKUP("Totales",$D$17:$K$116,8,FALSE),2)),""))</f>
        <v/>
      </c>
      <c r="I103" s="17" t="str">
        <f t="shared" si="5"/>
        <v/>
      </c>
      <c r="J103" s="17"/>
      <c r="K103" s="25" t="str">
        <f>IF(C102=$F$10,SUM($K$17:K102),IF(C103=B103,1/((1+$F$13)^SUM($E$17:E103)),""))</f>
        <v/>
      </c>
    </row>
    <row r="104" spans="2:11" x14ac:dyDescent="0.25">
      <c r="B104" s="18">
        <v>88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IF(C103=$F$10,SUM($F$17:F103),IF(C104=B104,IF(C104=$F$10,I103,ROUND(H104-G104,2)),""))</f>
        <v/>
      </c>
      <c r="G104" s="17" t="str">
        <f>IF(C103=$F$10,SUM($G$17:G103),IF(C104=B104,ROUND(((($F$12+1)^((D104-D103)/360))-1)*I103,2),""))</f>
        <v/>
      </c>
      <c r="H104" s="17" t="str">
        <f>IF(C103=$F$10,SUM($H$17:H103),IF(C104=B104,IF(C104=$F$10,F104+G104,ROUND($I$16/VLOOKUP("Totales",$D$17:$K$116,8,FALSE),2)),""))</f>
        <v/>
      </c>
      <c r="I104" s="17" t="str">
        <f t="shared" si="5"/>
        <v/>
      </c>
      <c r="J104" s="17"/>
      <c r="K104" s="25" t="str">
        <f>IF(C103=$F$10,SUM($K$17:K103),IF(C104=B104,1/((1+$F$13)^SUM($E$17:E104)),""))</f>
        <v/>
      </c>
    </row>
    <row r="105" spans="2:11" x14ac:dyDescent="0.25">
      <c r="B105" s="18">
        <v>89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IF(C104=$F$10,SUM($F$17:F104),IF(C105=B105,IF(C105=$F$10,I104,ROUND(H105-G105,2)),""))</f>
        <v/>
      </c>
      <c r="G105" s="17" t="str">
        <f>IF(C104=$F$10,SUM($G$17:G104),IF(C105=B105,ROUND(((($F$12+1)^((D105-D104)/360))-1)*I104,2),""))</f>
        <v/>
      </c>
      <c r="H105" s="17" t="str">
        <f>IF(C104=$F$10,SUM($H$17:H104),IF(C105=B105,IF(C105=$F$10,F105+G105,ROUND($I$16/VLOOKUP("Totales",$D$17:$K$116,8,FALSE),2)),""))</f>
        <v/>
      </c>
      <c r="I105" s="17" t="str">
        <f t="shared" si="5"/>
        <v/>
      </c>
      <c r="J105" s="17"/>
      <c r="K105" s="25" t="str">
        <f>IF(C104=$F$10,SUM($K$17:K104),IF(C105=B105,1/((1+$F$13)^SUM($E$17:E105)),""))</f>
        <v/>
      </c>
    </row>
    <row r="106" spans="2:11" x14ac:dyDescent="0.25">
      <c r="B106" s="18">
        <v>90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IF(C105=$F$10,SUM($F$17:F105),IF(C106=B106,IF(C106=$F$10,I105,ROUND(H106-G106,2)),""))</f>
        <v/>
      </c>
      <c r="G106" s="17" t="str">
        <f>IF(C105=$F$10,SUM($G$17:G105),IF(C106=B106,ROUND(((($F$12+1)^((D106-D105)/360))-1)*I105,2),""))</f>
        <v/>
      </c>
      <c r="H106" s="17" t="str">
        <f>IF(C105=$F$10,SUM($H$17:H105),IF(C106=B106,IF(C106=$F$10,F106+G106,ROUND($I$16/VLOOKUP("Totales",$D$17:$K$116,8,FALSE),2)),""))</f>
        <v/>
      </c>
      <c r="I106" s="17" t="str">
        <f t="shared" si="5"/>
        <v/>
      </c>
      <c r="J106" s="17"/>
      <c r="K106" s="25" t="str">
        <f>IF(C105=$F$10,SUM($K$17:K105),IF(C106=B106,1/((1+$F$13)^SUM($E$17:E106)),""))</f>
        <v/>
      </c>
    </row>
    <row r="107" spans="2:11" x14ac:dyDescent="0.25">
      <c r="B107" s="18">
        <v>91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IF(C106=$F$10,SUM($F$17:F106),IF(C107=B107,IF(C107=$F$10,I106,ROUND(H107-G107,2)),""))</f>
        <v/>
      </c>
      <c r="G107" s="17" t="str">
        <f>IF(C106=$F$10,SUM($G$17:G106),IF(C107=B107,ROUND(((($F$12+1)^((D107-D106)/360))-1)*I106,2),""))</f>
        <v/>
      </c>
      <c r="H107" s="17" t="str">
        <f>IF(C106=$F$10,SUM($H$17:H106),IF(C107=B107,IF(C107=$F$10,F107+G107,ROUND($I$16/VLOOKUP("Totales",$D$17:$K$116,8,FALSE),2)),""))</f>
        <v/>
      </c>
      <c r="I107" s="17" t="str">
        <f t="shared" si="5"/>
        <v/>
      </c>
      <c r="J107" s="17"/>
      <c r="K107" s="25" t="str">
        <f>IF(C106=$F$10,SUM($K$17:K106),IF(C107=B107,1/((1+$F$13)^SUM($E$17:E107)),""))</f>
        <v/>
      </c>
    </row>
    <row r="108" spans="2:11" x14ac:dyDescent="0.25">
      <c r="B108" s="18">
        <v>92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IF(C107=$F$10,SUM($F$17:F107),IF(C108=B108,IF(C108=$F$10,I107,ROUND(H108-G108,2)),""))</f>
        <v/>
      </c>
      <c r="G108" s="17" t="str">
        <f>IF(C107=$F$10,SUM($G$17:G107),IF(C108=B108,ROUND(((($F$12+1)^((D108-D107)/360))-1)*I107,2),""))</f>
        <v/>
      </c>
      <c r="H108" s="17" t="str">
        <f>IF(C107=$F$10,SUM($H$17:H107),IF(C108=B108,IF(C108=$F$10,F108+G108,ROUND($I$16/VLOOKUP("Totales",$D$17:$K$116,8,FALSE),2)),""))</f>
        <v/>
      </c>
      <c r="I108" s="17" t="str">
        <f t="shared" si="5"/>
        <v/>
      </c>
      <c r="J108" s="17"/>
      <c r="K108" s="25" t="str">
        <f>IF(C107=$F$10,SUM($K$17:K107),IF(C108=B108,1/((1+$F$13)^SUM($E$17:E108)),""))</f>
        <v/>
      </c>
    </row>
    <row r="109" spans="2:11" x14ac:dyDescent="0.25">
      <c r="B109" s="18">
        <v>93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IF(C108=$F$10,SUM($F$17:F108),IF(C109=B109,IF(C109=$F$10,I108,ROUND(H109-G109,2)),""))</f>
        <v/>
      </c>
      <c r="G109" s="17" t="str">
        <f>IF(C108=$F$10,SUM($G$17:G108),IF(C109=B109,ROUND(((($F$12+1)^((D109-D108)/360))-1)*I108,2),""))</f>
        <v/>
      </c>
      <c r="H109" s="17" t="str">
        <f>IF(C108=$F$10,SUM($H$17:H108),IF(C109=B109,IF(C109=$F$10,F109+G109,ROUND($I$16/VLOOKUP("Totales",$D$17:$K$116,8,FALSE),2)),""))</f>
        <v/>
      </c>
      <c r="I109" s="17" t="str">
        <f t="shared" si="5"/>
        <v/>
      </c>
      <c r="J109" s="17"/>
      <c r="K109" s="25" t="str">
        <f>IF(C108=$F$10,SUM($K$17:K108),IF(C109=B109,1/((1+$F$13)^SUM($E$17:E109)),""))</f>
        <v/>
      </c>
    </row>
    <row r="110" spans="2:11" x14ac:dyDescent="0.25">
      <c r="B110" s="18">
        <v>94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IF(C109=$F$10,SUM($F$17:F109),IF(C110=B110,IF(C110=$F$10,I109,ROUND(H110-G110,2)),""))</f>
        <v/>
      </c>
      <c r="G110" s="17" t="str">
        <f>IF(C109=$F$10,SUM($G$17:G109),IF(C110=B110,ROUND(((($F$12+1)^((D110-D109)/360))-1)*I109,2),""))</f>
        <v/>
      </c>
      <c r="H110" s="17" t="str">
        <f>IF(C109=$F$10,SUM($H$17:H109),IF(C110=B110,IF(C110=$F$10,F110+G110,ROUND($I$16/VLOOKUP("Totales",$D$17:$K$116,8,FALSE),2)),""))</f>
        <v/>
      </c>
      <c r="I110" s="17" t="str">
        <f t="shared" si="5"/>
        <v/>
      </c>
      <c r="J110" s="17"/>
      <c r="K110" s="25" t="str">
        <f>IF(C109=$F$10,SUM($K$17:K109),IF(C110=B110,1/((1+$F$13)^SUM($E$17:E110)),""))</f>
        <v/>
      </c>
    </row>
    <row r="111" spans="2:11" x14ac:dyDescent="0.25">
      <c r="B111" s="18">
        <v>95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IF(C110=$F$10,SUM($F$17:F110),IF(C111=B111,IF(C111=$F$10,I110,ROUND(H111-G111,2)),""))</f>
        <v/>
      </c>
      <c r="G111" s="17" t="str">
        <f>IF(C110=$F$10,SUM($G$17:G110),IF(C111=B111,ROUND(((($F$12+1)^((D111-D110)/360))-1)*I110,2),""))</f>
        <v/>
      </c>
      <c r="H111" s="17" t="str">
        <f>IF(C110=$F$10,SUM($H$17:H110),IF(C111=B111,IF(C111=$F$10,F111+G111,ROUND($I$16/VLOOKUP("Totales",$D$17:$K$116,8,FALSE),2)),""))</f>
        <v/>
      </c>
      <c r="I111" s="17" t="str">
        <f t="shared" si="5"/>
        <v/>
      </c>
      <c r="J111" s="17"/>
      <c r="K111" s="25" t="str">
        <f>IF(C110=$F$10,SUM($K$17:K110),IF(C111=B111,1/((1+$F$13)^SUM($E$17:E111)),""))</f>
        <v/>
      </c>
    </row>
    <row r="112" spans="2:11" x14ac:dyDescent="0.25">
      <c r="B112" s="18">
        <v>96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IF(C111=$F$10,SUM($F$17:F111),IF(C112=B112,IF(C112=$F$10,I111,ROUND(H112-G112,2)),""))</f>
        <v/>
      </c>
      <c r="G112" s="17" t="str">
        <f>IF(C111=$F$10,SUM($G$17:G111),IF(C112=B112,ROUND(((($F$12+1)^((D112-D111)/360))-1)*I111,2),""))</f>
        <v/>
      </c>
      <c r="H112" s="17" t="str">
        <f>IF(C111=$F$10,SUM($H$17:H111),IF(C112=B112,IF(C112=$F$10,F112+G112,ROUND($I$16/VLOOKUP("Totales",$D$17:$K$116,8,FALSE),2)),""))</f>
        <v/>
      </c>
      <c r="I112" s="17" t="str">
        <f t="shared" si="5"/>
        <v/>
      </c>
      <c r="J112" s="17"/>
      <c r="K112" s="25" t="str">
        <f>IF(C111=$F$10,SUM($K$17:K111),IF(C112=B112,1/((1+$F$13)^SUM($E$17:E112)),""))</f>
        <v/>
      </c>
    </row>
    <row r="113" spans="2:11" x14ac:dyDescent="0.25">
      <c r="B113" s="18">
        <v>97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IF(C112=$F$10,SUM($F$17:F112),IF(C113=B113,IF(C113=$F$10,I112,ROUND(H113-G113,2)),""))</f>
        <v/>
      </c>
      <c r="G113" s="17" t="str">
        <f>IF(C112=$F$10,SUM($G$17:G112),IF(C113=B113,ROUND(((($F$12+1)^((D113-D112)/360))-1)*I112,2),""))</f>
        <v/>
      </c>
      <c r="H113" s="17" t="str">
        <f>IF(C112=$F$10,SUM($H$17:H112),IF(C113=B113,IF(C113=$F$10,F113+G113,ROUND($I$16/VLOOKUP("Totales",$D$17:$K$116,8,FALSE),2)),""))</f>
        <v/>
      </c>
      <c r="I113" s="17" t="str">
        <f t="shared" si="5"/>
        <v/>
      </c>
      <c r="J113" s="17"/>
      <c r="K113" s="25" t="str">
        <f>IF(C112=$F$10,SUM($K$17:K112),IF(C113=B113,1/((1+$F$13)^SUM($E$17:E113)),""))</f>
        <v/>
      </c>
    </row>
    <row r="114" spans="2:11" x14ac:dyDescent="0.25">
      <c r="B114" s="18">
        <v>98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IF(C113=$F$10,SUM($F$17:F113),IF(C114=B114,IF(C114=$F$10,I113,ROUND(H114-G114,2)),""))</f>
        <v/>
      </c>
      <c r="G114" s="17" t="str">
        <f>IF(C113=$F$10,SUM($G$17:G113),IF(C114=B114,ROUND(((($F$12+1)^((D114-D113)/360))-1)*I113,2),""))</f>
        <v/>
      </c>
      <c r="H114" s="17" t="str">
        <f>IF(C113=$F$10,SUM($H$17:H113),IF(C114=B114,IF(C114=$F$10,F114+G114,ROUND($I$16/VLOOKUP("Totales",$D$17:$K$116,8,FALSE),2)),""))</f>
        <v/>
      </c>
      <c r="I114" s="17" t="str">
        <f t="shared" si="5"/>
        <v/>
      </c>
      <c r="J114" s="17"/>
      <c r="K114" s="25" t="str">
        <f>IF(C113=$F$10,SUM($K$17:K113),IF(C114=B114,1/((1+$F$13)^SUM($E$17:E114)),""))</f>
        <v/>
      </c>
    </row>
    <row r="115" spans="2:11" x14ac:dyDescent="0.25">
      <c r="B115" s="18">
        <v>99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IF(C114=$F$10,SUM($F$17:F114),IF(C115=B115,IF(C115=$F$10,I114,ROUND(H115-G115,2)),""))</f>
        <v/>
      </c>
      <c r="G115" s="17" t="str">
        <f>IF(C114=$F$10,SUM($G$17:G114),IF(C115=B115,ROUND(((($F$12+1)^((D115-D114)/360))-1)*I114,2),""))</f>
        <v/>
      </c>
      <c r="H115" s="17" t="str">
        <f>IF(C114=$F$10,SUM($H$17:H114),IF(C115=B115,IF(C115=$F$10,F115+G115,ROUND($I$16/VLOOKUP("Totales",$D$17:$K$116,8,FALSE),2)),""))</f>
        <v/>
      </c>
      <c r="I115" s="17" t="str">
        <f t="shared" si="5"/>
        <v/>
      </c>
      <c r="J115" s="17"/>
      <c r="K115" s="25" t="str">
        <f>IF(C114=$F$10,SUM($K$17:K114),IF(C115=B115,1/((1+$F$13)^SUM($E$17:E115)),""))</f>
        <v/>
      </c>
    </row>
    <row r="116" spans="2:11" x14ac:dyDescent="0.25">
      <c r="B116" s="18">
        <v>100</v>
      </c>
      <c r="C116" s="19" t="str">
        <f t="shared" si="6"/>
        <v/>
      </c>
      <c r="D116" s="20" t="str">
        <f t="shared" ref="D116" si="8">IF(C115=$F$10,"Totales",IF(B116&lt;=$F$10,DATE(IF(MONTH(D115)=12,YEAR(D115)+1,YEAR(D115)),IF(MONTH(D115)=12,1,MONTH(D115)+1),10),""))</f>
        <v/>
      </c>
      <c r="E116" s="23" t="str">
        <f t="shared" si="4"/>
        <v/>
      </c>
      <c r="F116" s="17" t="str">
        <f>IF(C115=$F$10,SUM($F$17:F115),IF(C116=B116,IF(C116=$F$10,I115,ROUND(H116-G116,2)),""))</f>
        <v/>
      </c>
      <c r="G116" s="17" t="str">
        <f>IF(C115=$F$10,SUM($G$17:G115),IF(C116=B116,ROUND(((($F$12+1)^((D116-D115)/360))-1)*I115,2),""))</f>
        <v/>
      </c>
      <c r="H116" s="17" t="str">
        <f>IF(C115=$F$10,SUM($H$17:H115),IF(C116=B116,IF(C116=$F$10,F116+G116,ROUND($I$16/VLOOKUP("Totales",$D$17:$K$116,8,FALSE),2)),""))</f>
        <v/>
      </c>
      <c r="I116" s="17" t="str">
        <f t="shared" si="5"/>
        <v/>
      </c>
      <c r="J116" s="17"/>
      <c r="K116" s="25" t="str">
        <f>IF(C115=$F$10,SUM($K$17:K115),IF(C116=B116,1/((1+$F$13)^SUM($E$17:E116)),""))</f>
        <v/>
      </c>
    </row>
    <row r="117" spans="2:11" x14ac:dyDescent="0.25">
      <c r="B117" s="18"/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</sheetData>
  <sheetProtection algorithmName="SHA-512" hashValue="7OuIrP84t3PBjX3hpL0fvPv+P388ndeqMo52KLK9gxzUa5VO+sJofXDof5PglHxTSAZeJ46cSdS31wZQF/YmCA==" saltValue="nCEo/jUqCKzEi7vg4rnGhA==" spinCount="100000" sheet="1" objects="1" scenarios="1" selectLockedCells="1"/>
  <mergeCells count="10">
    <mergeCell ref="C1:I1"/>
    <mergeCell ref="F11:I11"/>
    <mergeCell ref="F12:I12"/>
    <mergeCell ref="F13:I13"/>
    <mergeCell ref="C5:F5"/>
    <mergeCell ref="C6:F6"/>
    <mergeCell ref="C7:I7"/>
    <mergeCell ref="C8:I8"/>
    <mergeCell ref="F9:I9"/>
    <mergeCell ref="F10:I10"/>
  </mergeCells>
  <conditionalFormatting sqref="J15 L65:M67 C116:K116 F9:F10 C105:C115 E105:K115">
    <cfRule type="cellIs" dxfId="18" priority="5" stopIfTrue="1" operator="notEqual">
      <formula>""</formula>
    </cfRule>
  </conditionalFormatting>
  <conditionalFormatting sqref="J17:J64 K17:K104 C16:I17 C18:C104 E18:I64 E65:J104 D18:D115">
    <cfRule type="cellIs" dxfId="17" priority="4" stopIfTrue="1" operator="notEqual">
      <formula>""</formula>
    </cfRule>
  </conditionalFormatting>
  <conditionalFormatting sqref="F11">
    <cfRule type="cellIs" dxfId="16" priority="3" stopIfTrue="1" operator="notEqual">
      <formula>""</formula>
    </cfRule>
  </conditionalFormatting>
  <dataValidations count="1">
    <dataValidation type="list" allowBlank="1" showInputMessage="1" showErrorMessage="1" errorTitle="PÑPÑ" error="ZXCB" sqref="C7:I7" xr:uid="{00000000-0002-0000-0200-000000000000}">
      <formula1>$K$3:$K$4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9"/>
  <sheetViews>
    <sheetView showGridLines="0" topLeftCell="B1" zoomScale="85" zoomScaleNormal="85" zoomScaleSheetLayoutView="100" workbookViewId="0">
      <selection activeCell="F11" sqref="F11:I11"/>
    </sheetView>
  </sheetViews>
  <sheetFormatPr baseColWidth="10" defaultColWidth="11.453125" defaultRowHeight="12.5" x14ac:dyDescent="0.25"/>
  <cols>
    <col min="1" max="1" width="0" style="1" hidden="1" customWidth="1"/>
    <col min="2" max="2" width="3.1796875" style="1" bestFit="1" customWidth="1"/>
    <col min="3" max="3" width="9.7265625" style="1" customWidth="1"/>
    <col min="4" max="4" width="14.453125" style="1" customWidth="1"/>
    <col min="5" max="5" width="10.54296875" style="1" hidden="1" customWidth="1"/>
    <col min="6" max="9" width="18.726562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3:15" x14ac:dyDescent="0.25">
      <c r="D1" s="2"/>
    </row>
    <row r="2" spans="3:15" ht="35.25" customHeight="1" x14ac:dyDescent="0.25">
      <c r="C2" s="68" t="s">
        <v>22</v>
      </c>
      <c r="D2" s="68"/>
      <c r="E2" s="68"/>
      <c r="F2" s="68"/>
      <c r="G2" s="68"/>
      <c r="H2" s="68"/>
      <c r="I2" s="68"/>
    </row>
    <row r="3" spans="3:15" ht="15" customHeight="1" x14ac:dyDescent="0.25"/>
    <row r="4" spans="3:15" ht="13" x14ac:dyDescent="0.3">
      <c r="C4" s="3" t="s">
        <v>20</v>
      </c>
      <c r="K4" s="1" t="s">
        <v>0</v>
      </c>
    </row>
    <row r="5" spans="3:15" x14ac:dyDescent="0.25">
      <c r="K5" s="1" t="s">
        <v>1</v>
      </c>
    </row>
    <row r="6" spans="3:15" s="40" customFormat="1" ht="6" customHeight="1" x14ac:dyDescent="0.25">
      <c r="C6" s="54" t="str">
        <f>IF((D17+SUM(E18:E117))&gt;46376,"No cumple condición crediticia:","")</f>
        <v/>
      </c>
      <c r="D6" s="54"/>
      <c r="E6" s="54"/>
      <c r="F6" s="54"/>
    </row>
    <row r="7" spans="3:15" s="40" customFormat="1" ht="5.25" customHeight="1" x14ac:dyDescent="0.25">
      <c r="C7" s="55" t="str">
        <f>IF(C6="No cumple condición crediticia:","Reducir plazo del préstamo","")</f>
        <v/>
      </c>
      <c r="D7" s="55"/>
      <c r="E7" s="55"/>
      <c r="F7" s="55"/>
    </row>
    <row r="8" spans="3:15" ht="15" customHeight="1" x14ac:dyDescent="0.25">
      <c r="C8" s="56" t="s">
        <v>0</v>
      </c>
      <c r="D8" s="57"/>
      <c r="E8" s="57"/>
      <c r="F8" s="57"/>
      <c r="G8" s="57"/>
      <c r="H8" s="57"/>
      <c r="I8" s="58"/>
    </row>
    <row r="9" spans="3:15" s="4" customFormat="1" ht="12.75" customHeight="1" x14ac:dyDescent="0.25">
      <c r="C9" s="59" t="s">
        <v>2</v>
      </c>
      <c r="D9" s="60"/>
      <c r="E9" s="60"/>
      <c r="F9" s="60"/>
      <c r="G9" s="60"/>
      <c r="H9" s="60"/>
      <c r="I9" s="60"/>
      <c r="J9" s="1"/>
      <c r="N9" s="1"/>
      <c r="O9" s="1"/>
    </row>
    <row r="10" spans="3:15" x14ac:dyDescent="0.25">
      <c r="C10" s="5" t="s">
        <v>3</v>
      </c>
      <c r="D10" s="6"/>
      <c r="E10" s="7"/>
      <c r="F10" s="61">
        <v>3000000</v>
      </c>
      <c r="G10" s="62"/>
      <c r="H10" s="62"/>
      <c r="I10" s="63"/>
      <c r="J10" s="8"/>
      <c r="K10" s="4"/>
      <c r="L10" s="9" t="s">
        <v>4</v>
      </c>
      <c r="M10" s="10" t="s">
        <v>5</v>
      </c>
    </row>
    <row r="11" spans="3:15" x14ac:dyDescent="0.25">
      <c r="C11" s="5" t="s">
        <v>6</v>
      </c>
      <c r="D11" s="6"/>
      <c r="E11" s="7"/>
      <c r="F11" s="64">
        <v>44</v>
      </c>
      <c r="G11" s="65"/>
      <c r="H11" s="65"/>
      <c r="I11" s="66"/>
      <c r="J11" s="8"/>
      <c r="K11" s="11">
        <f>IF($C$8="GOBIERNOS LOCALES",M11,L11)</f>
        <v>8.2500000000000004E-2</v>
      </c>
      <c r="L11" s="12">
        <f>IF($F$10&gt;1000000,7.75%,8.75%)</f>
        <v>7.7499999999999999E-2</v>
      </c>
      <c r="M11" s="12">
        <f>IF($F$10&gt;1000000,8.25%,9.25%)</f>
        <v>8.2500000000000004E-2</v>
      </c>
    </row>
    <row r="12" spans="3:15" x14ac:dyDescent="0.25">
      <c r="C12" s="5" t="s">
        <v>7</v>
      </c>
      <c r="D12" s="6"/>
      <c r="E12" s="7"/>
      <c r="F12" s="45">
        <v>45037</v>
      </c>
      <c r="G12" s="46"/>
      <c r="H12" s="46"/>
      <c r="I12" s="47"/>
      <c r="J12" s="13"/>
      <c r="K12" s="11">
        <f>IF($C$8="GOBIERNOS LOCALES",M12,L12)</f>
        <v>9.2499999999999999E-2</v>
      </c>
      <c r="L12" s="12">
        <f>IF($F$10&gt;1000000,8.25%,9.25%)</f>
        <v>8.2500000000000004E-2</v>
      </c>
      <c r="M12" s="12">
        <f>IF($F$10&gt;1000000,9.25%,10.25%)</f>
        <v>9.2499999999999999E-2</v>
      </c>
    </row>
    <row r="13" spans="3:15" x14ac:dyDescent="0.25">
      <c r="C13" s="5" t="s">
        <v>8</v>
      </c>
      <c r="D13" s="6"/>
      <c r="E13" s="7"/>
      <c r="F13" s="48">
        <f>IF(AND(F11&gt;=1,F11&lt;=12),K11,IF(AND(F11&lt;=24,F11&gt;12),K12,IF(AND(F11&lt;=36,F11&gt;24),K13,IF(AND(F11&lt;=60,F11&gt;36),K14,"No aplicable"))))</f>
        <v>0.1275</v>
      </c>
      <c r="G13" s="49"/>
      <c r="H13" s="49"/>
      <c r="I13" s="50"/>
      <c r="J13" s="14"/>
      <c r="K13" s="11">
        <f>IF($C$8="GOBIERNOS LOCALES",M13,L13)</f>
        <v>0.10249999999999999</v>
      </c>
      <c r="L13" s="12">
        <f>IF($F$10&gt;1000000,9.25%,10.25%)</f>
        <v>9.2499999999999999E-2</v>
      </c>
      <c r="M13" s="12">
        <f>IF($F$10&gt;1000000,10.25%,11.25%)</f>
        <v>0.10249999999999999</v>
      </c>
    </row>
    <row r="14" spans="3:15" hidden="1" x14ac:dyDescent="0.25">
      <c r="C14" s="5" t="s">
        <v>9</v>
      </c>
      <c r="D14" s="6"/>
      <c r="E14" s="7"/>
      <c r="F14" s="51">
        <f>((F13+1)^(1/360))-1</f>
        <v>3.3339665430021093E-4</v>
      </c>
      <c r="G14" s="52"/>
      <c r="H14" s="52"/>
      <c r="I14" s="53"/>
      <c r="K14" s="11">
        <f>IF($C$8="GOBIERNOS LOCALES",M14,L14)</f>
        <v>0.1275</v>
      </c>
      <c r="L14" s="12">
        <f>IF($F$10&gt;1000000,11.75%,12.75%)</f>
        <v>0.11749999999999999</v>
      </c>
      <c r="M14" s="12">
        <f>IF($F$10&gt;1000000,12.75%,13.75%)</f>
        <v>0.1275</v>
      </c>
    </row>
    <row r="15" spans="3:15" ht="11.25" customHeight="1" x14ac:dyDescent="0.25">
      <c r="I15" s="15"/>
    </row>
    <row r="16" spans="3:15" x14ac:dyDescent="0.25">
      <c r="C16" s="16" t="s">
        <v>10</v>
      </c>
      <c r="D16" s="16" t="s">
        <v>11</v>
      </c>
      <c r="E16" s="16" t="s">
        <v>12</v>
      </c>
      <c r="F16" s="16" t="s">
        <v>13</v>
      </c>
      <c r="G16" s="16" t="s">
        <v>14</v>
      </c>
      <c r="H16" s="16" t="s">
        <v>15</v>
      </c>
      <c r="I16" s="16" t="s">
        <v>16</v>
      </c>
      <c r="J16" s="17"/>
      <c r="K16" s="16" t="s">
        <v>9</v>
      </c>
    </row>
    <row r="17" spans="2:13" x14ac:dyDescent="0.25">
      <c r="B17" s="18">
        <v>0</v>
      </c>
      <c r="C17" s="19">
        <v>0</v>
      </c>
      <c r="D17" s="20">
        <f>+F12</f>
        <v>45037</v>
      </c>
      <c r="E17" s="20"/>
      <c r="F17" s="21">
        <v>0</v>
      </c>
      <c r="G17" s="21">
        <v>0</v>
      </c>
      <c r="H17" s="21">
        <v>0</v>
      </c>
      <c r="I17" s="17">
        <f>+F10</f>
        <v>3000000</v>
      </c>
      <c r="K17" s="22"/>
    </row>
    <row r="18" spans="2:13" x14ac:dyDescent="0.25">
      <c r="B18" s="18">
        <v>1</v>
      </c>
      <c r="C18" s="19">
        <f>IF(B18&lt;=$F$11,B18,"")</f>
        <v>1</v>
      </c>
      <c r="D18" s="20">
        <f>IF(C17=$F$11,"Totales",IF(B18&lt;=$F$11,DATE(IF(MONTH(D17)=12,YEAR(D17)+1,YEAR(D17)),IF(MONTH(D17)=12,1,IF(DAY(D17)&lt;10,MONTH(D17),MONTH(D17)+1)),20),""))</f>
        <v>45066</v>
      </c>
      <c r="E18" s="23">
        <f t="shared" ref="E18:E63" si="0">IF(C18=B18,D18-D17,"")</f>
        <v>29</v>
      </c>
      <c r="F18" s="17">
        <f>IF(C17=$F$11,SUM($F17:F$18),IF(C18=B18,IF(C18=$F$11,I17,ROUND(H18-G18,2)),""))</f>
        <v>55811.03</v>
      </c>
      <c r="G18" s="17">
        <f>IF(C17=$F$11,SUM($G17:G$18),IF(C18=B18,ROUND(((($F$13+1)^((D18-D17)/360))-1)*I17,2),""))</f>
        <v>29141.3</v>
      </c>
      <c r="H18" s="17">
        <f>IF(C17=$F$11,SUM($H17:H$18),IF(C18=B18,IF(C18=$F$11,F18+G18,ROUND($I$17/VLOOKUP("Totales",$D$18:$K$117,8,FALSE),2)),""))</f>
        <v>84952.33</v>
      </c>
      <c r="I18" s="17">
        <f>IF(C18=B18,ROUND(I17-F18,2),"")</f>
        <v>2944188.97</v>
      </c>
      <c r="J18" s="24"/>
      <c r="K18" s="25">
        <f>IF(C17=$F$11,SUM($K17:K$18),IF(C18=B18,1/((1+$F$14)^SUM($E$18:E18)),""))</f>
        <v>0.990379682590387</v>
      </c>
      <c r="L18" s="26"/>
      <c r="M18" s="26"/>
    </row>
    <row r="19" spans="2:13" x14ac:dyDescent="0.25">
      <c r="B19" s="18">
        <v>2</v>
      </c>
      <c r="C19" s="19">
        <f t="shared" ref="C19:C82" si="1">IF(B19&lt;=$F$11,B19,"")</f>
        <v>2</v>
      </c>
      <c r="D19" s="20">
        <f t="shared" ref="D19:D82" si="2">IF(C18=$F$11,"Totales",IF(B19&lt;=$F$11,DATE(IF(MONTH(D18)=12,YEAR(D18)+1,YEAR(D18)),IF(MONTH(D18)=12,1,IF(DAY(D18)&lt;10,MONTH(D18),MONTH(D18)+1)),20),""))</f>
        <v>45097</v>
      </c>
      <c r="E19" s="23">
        <f t="shared" si="0"/>
        <v>31</v>
      </c>
      <c r="F19" s="17">
        <f>IF(C18=$F$11,SUM($F$18:F18),IF(C19=B19,IF(C19=$F$11,I18,ROUND(H19-G19,2)),""))</f>
        <v>54370.6</v>
      </c>
      <c r="G19" s="17">
        <f>IF(C18=$F$11,SUM($G$18:G18),IF(C19=B19,ROUND(((($F$13+1)^((D19-D18)/360))-1)*I18,2),""))</f>
        <v>30581.73</v>
      </c>
      <c r="H19" s="17">
        <f>IF(C18=$F$11,SUM($H18:H$18),IF(C19=B19,IF(C19=$F$11,F19+G19,ROUND($I$17/VLOOKUP("Totales",$D$18:$K$117,8,FALSE),2)),""))</f>
        <v>84952.33</v>
      </c>
      <c r="I19" s="17">
        <f t="shared" ref="I19:I66" si="3">IF(C19=B19,ROUND(I18-F19,2),"")</f>
        <v>2889818.37</v>
      </c>
      <c r="J19" s="24"/>
      <c r="K19" s="25">
        <f>IF(C18=$F$11,SUM($K$18:K18),IF(C19=B19,1/((1+$F$14)^SUM($E$18:E19)),""))</f>
        <v>0.98019821712326038</v>
      </c>
      <c r="L19" s="26"/>
    </row>
    <row r="20" spans="2:13" x14ac:dyDescent="0.25">
      <c r="B20" s="18">
        <v>3</v>
      </c>
      <c r="C20" s="19">
        <f t="shared" si="1"/>
        <v>3</v>
      </c>
      <c r="D20" s="20">
        <f t="shared" si="2"/>
        <v>45127</v>
      </c>
      <c r="E20" s="23">
        <f t="shared" si="0"/>
        <v>30</v>
      </c>
      <c r="F20" s="17">
        <f>IF(C19=$F$11,SUM($F$18:F19),IF(C20=B20,IF(C20=$F$11,I19,ROUND(H20-G20,2)),""))</f>
        <v>55908.49</v>
      </c>
      <c r="G20" s="17">
        <f>IF(C19=$F$11,SUM($G$18:G19),IF(C20=B20,ROUND(((($F$13+1)^((D20-D19)/360))-1)*I19,2),""))</f>
        <v>29043.84</v>
      </c>
      <c r="H20" s="17">
        <f>IF(C19=$F$11,SUM($H$18:H19),IF(C20=B20,IF(C20=$F$11,F20+G20,ROUND($I$17/VLOOKUP("Totales",$D$18:$K$117,8,FALSE),2)),""))</f>
        <v>84952.33</v>
      </c>
      <c r="I20" s="17">
        <f t="shared" si="3"/>
        <v>2833909.88</v>
      </c>
      <c r="J20" s="24"/>
      <c r="K20" s="25">
        <f>IF(C19=$F$11,SUM($K$18:K19),IF(C20=B20,1/((1+$F$14)^SUM($E$18:E20)),""))</f>
        <v>0.97044485608199704</v>
      </c>
      <c r="L20" s="26"/>
    </row>
    <row r="21" spans="2:13" x14ac:dyDescent="0.25">
      <c r="B21" s="18">
        <v>4</v>
      </c>
      <c r="C21" s="19">
        <f t="shared" si="1"/>
        <v>4</v>
      </c>
      <c r="D21" s="20">
        <f t="shared" si="2"/>
        <v>45158</v>
      </c>
      <c r="E21" s="23">
        <f t="shared" si="0"/>
        <v>31</v>
      </c>
      <c r="F21" s="17">
        <f>IF(C20=$F$11,SUM($F$18:F20),IF(C21=B21,IF(C21=$F$11,I20,ROUND(H21-G21,2)),""))</f>
        <v>55516.08</v>
      </c>
      <c r="G21" s="17">
        <f>IF(C20=$F$11,SUM($G$18:G20),IF(C21=B21,ROUND(((($F$13+1)^((D21-D20)/360))-1)*I20,2),""))</f>
        <v>29436.25</v>
      </c>
      <c r="H21" s="17">
        <f>IF(C20=$F$11,SUM($H$18:H20),IF(C21=B21,IF(C21=$F$11,F21+G21,ROUND($I$17/VLOOKUP("Totales",$D$18:$K$117,8,FALSE),2)),""))</f>
        <v>84952.33</v>
      </c>
      <c r="I21" s="17">
        <f t="shared" si="3"/>
        <v>2778393.8</v>
      </c>
      <c r="J21" s="24"/>
      <c r="K21" s="25">
        <f>IF(C20=$F$11,SUM($K$18:K20),IF(C21=B21,1/((1+$F$14)^SUM($E$18:E21)),""))</f>
        <v>0.96046832792452685</v>
      </c>
      <c r="L21" s="26"/>
    </row>
    <row r="22" spans="2:13" x14ac:dyDescent="0.25">
      <c r="B22" s="18">
        <v>5</v>
      </c>
      <c r="C22" s="19">
        <f t="shared" si="1"/>
        <v>5</v>
      </c>
      <c r="D22" s="20">
        <f t="shared" si="2"/>
        <v>45189</v>
      </c>
      <c r="E22" s="23">
        <f t="shared" si="0"/>
        <v>31</v>
      </c>
      <c r="F22" s="17">
        <f>IF(C21=$F$11,SUM($F$18:F21),IF(C22=B22,IF(C22=$F$11,I21,ROUND(H22-G22,2)),""))</f>
        <v>56092.74</v>
      </c>
      <c r="G22" s="17">
        <f>IF(C21=$F$11,SUM($G$18:G21),IF(C22=B22,ROUND(((($F$13+1)^((D22-D21)/360))-1)*I21,2),""))</f>
        <v>28859.59</v>
      </c>
      <c r="H22" s="17">
        <f>IF(C21=$F$11,SUM($H$18:H21),IF(C22=B22,IF(C22=$F$11,F22+G22,ROUND($I$17/VLOOKUP("Totales",$D$18:$K$117,8,FALSE),2)),""))</f>
        <v>84952.33</v>
      </c>
      <c r="I22" s="17">
        <f t="shared" si="3"/>
        <v>2722301.06</v>
      </c>
      <c r="J22" s="24"/>
      <c r="K22" s="25">
        <f>IF(C21=$F$11,SUM($K$18:K21),IF(C22=B22,1/((1+$F$14)^SUM($E$18:E22)),""))</f>
        <v>0.95059436212642556</v>
      </c>
      <c r="L22" s="26"/>
    </row>
    <row r="23" spans="2:13" x14ac:dyDescent="0.25">
      <c r="B23" s="18">
        <v>6</v>
      </c>
      <c r="C23" s="19">
        <f t="shared" si="1"/>
        <v>6</v>
      </c>
      <c r="D23" s="20">
        <f t="shared" si="2"/>
        <v>45219</v>
      </c>
      <c r="E23" s="23">
        <f t="shared" si="0"/>
        <v>30</v>
      </c>
      <c r="F23" s="17">
        <f>IF(C22=$F$11,SUM($F$18:F22),IF(C23=B23,IF(C23=$F$11,I22,ROUND(H23-G23,2)),""))</f>
        <v>57592.11</v>
      </c>
      <c r="G23" s="17">
        <f>IF(C22=$F$11,SUM($G$18:G22),IF(C23=B23,ROUND(((($F$13+1)^((D23-D22)/360))-1)*I22,2),""))</f>
        <v>27360.22</v>
      </c>
      <c r="H23" s="17">
        <f>IF(C22=$F$11,SUM($H$18:H22),IF(C23=B23,IF(C23=$F$11,F23+G23,ROUND($I$17/VLOOKUP("Totales",$D$18:$K$117,8,FALSE),2)),""))</f>
        <v>84952.33</v>
      </c>
      <c r="I23" s="17">
        <f t="shared" si="3"/>
        <v>2664708.9500000002</v>
      </c>
      <c r="J23" s="24"/>
      <c r="K23" s="25">
        <f>IF(C22=$F$11,SUM($K$18:K22),IF(C23=B23,1/((1+$F$14)^SUM($E$18:E23)),""))</f>
        <v>0.94113557118430513</v>
      </c>
      <c r="L23" s="26"/>
    </row>
    <row r="24" spans="2:13" x14ac:dyDescent="0.25">
      <c r="B24" s="18">
        <v>7</v>
      </c>
      <c r="C24" s="19">
        <f t="shared" si="1"/>
        <v>7</v>
      </c>
      <c r="D24" s="20">
        <f t="shared" si="2"/>
        <v>45250</v>
      </c>
      <c r="E24" s="23">
        <f t="shared" si="0"/>
        <v>31</v>
      </c>
      <c r="F24" s="17">
        <f>IF(C23=$F$11,SUM($F$18:F23),IF(C24=B24,IF(C24=$F$11,I23,ROUND(H24-G24,2)),""))</f>
        <v>57273.599999999999</v>
      </c>
      <c r="G24" s="17">
        <f>IF(C23=$F$11,SUM($G$18:G23),IF(C24=B24,ROUND(((($F$13+1)^((D24-D23)/360))-1)*I23,2),""))</f>
        <v>27678.73</v>
      </c>
      <c r="H24" s="17">
        <f>IF(C23=$F$11,SUM($H$18:H23),IF(C24=B24,IF(C24=$F$11,F24+G24,ROUND($I$17/VLOOKUP("Totales",$D$18:$K$117,8,FALSE),2)),""))</f>
        <v>84952.33</v>
      </c>
      <c r="I24" s="17">
        <f t="shared" si="3"/>
        <v>2607435.35</v>
      </c>
      <c r="J24" s="24"/>
      <c r="K24" s="25">
        <f>IF(C23=$F$11,SUM($K$18:K23),IF(C24=B24,1/((1+$F$14)^SUM($E$18:E24)),""))</f>
        <v>0.93146035319837572</v>
      </c>
      <c r="L24" s="26"/>
    </row>
    <row r="25" spans="2:13" x14ac:dyDescent="0.25">
      <c r="B25" s="18">
        <v>8</v>
      </c>
      <c r="C25" s="19">
        <f t="shared" si="1"/>
        <v>8</v>
      </c>
      <c r="D25" s="20">
        <f t="shared" si="2"/>
        <v>45280</v>
      </c>
      <c r="E25" s="23">
        <f t="shared" si="0"/>
        <v>30</v>
      </c>
      <c r="F25" s="17">
        <f>IF(C24=$F$11,SUM($F$18:F24),IF(C25=B25,IF(C25=$F$11,I24,ROUND(H25-G25,2)),""))</f>
        <v>58746.559999999998</v>
      </c>
      <c r="G25" s="17">
        <f>IF(C24=$F$11,SUM($G$18:G24),IF(C25=B25,ROUND(((($F$13+1)^((D25-D24)/360))-1)*I24,2),""))</f>
        <v>26205.77</v>
      </c>
      <c r="H25" s="17">
        <f>IF(C24=$F$11,SUM($H$18:H24),IF(C25=B25,IF(C25=$F$11,F25+G25,ROUND($I$17/VLOOKUP("Totales",$D$18:$K$117,8,FALSE),2)),""))</f>
        <v>84952.33</v>
      </c>
      <c r="I25" s="17">
        <f t="shared" si="3"/>
        <v>2548688.79</v>
      </c>
      <c r="J25" s="24"/>
      <c r="K25" s="25">
        <f>IF(C24=$F$11,SUM($K$18:K24),IF(C25=B25,1/((1+$F$14)^SUM($E$18:E25)),""))</f>
        <v>0.92219195323430603</v>
      </c>
      <c r="L25" s="26"/>
    </row>
    <row r="26" spans="2:13" x14ac:dyDescent="0.25">
      <c r="B26" s="18">
        <v>9</v>
      </c>
      <c r="C26" s="19">
        <f t="shared" si="1"/>
        <v>9</v>
      </c>
      <c r="D26" s="20">
        <f t="shared" si="2"/>
        <v>45311</v>
      </c>
      <c r="E26" s="23">
        <f t="shared" si="0"/>
        <v>31</v>
      </c>
      <c r="F26" s="17">
        <f>IF(C25=$F$11,SUM($F$18:F25),IF(C26=B26,IF(C26=$F$11,I25,ROUND(H26-G26,2)),""))</f>
        <v>58478.720000000001</v>
      </c>
      <c r="G26" s="17">
        <f>IF(C25=$F$11,SUM($G$18:G25),IF(C26=B26,ROUND(((($F$13+1)^((D26-D25)/360))-1)*I25,2),""))</f>
        <v>26473.61</v>
      </c>
      <c r="H26" s="17">
        <f>IF(C25=$F$11,SUM($H$18:H25),IF(C26=B26,IF(C26=$F$11,F26+G26,ROUND($I$17/VLOOKUP("Totales",$D$18:$K$117,8,FALSE),2)),""))</f>
        <v>84952.33</v>
      </c>
      <c r="I26" s="17">
        <f t="shared" si="3"/>
        <v>2490210.0699999998</v>
      </c>
      <c r="J26" s="24"/>
      <c r="K26" s="25">
        <f>IF(C25=$F$11,SUM($K$18:K25),IF(C26=B26,1/((1+$F$14)^SUM($E$18:E26)),""))</f>
        <v>0.91271148257141976</v>
      </c>
      <c r="L26" s="26"/>
    </row>
    <row r="27" spans="2:13" x14ac:dyDescent="0.25">
      <c r="B27" s="18">
        <v>10</v>
      </c>
      <c r="C27" s="19">
        <f t="shared" si="1"/>
        <v>10</v>
      </c>
      <c r="D27" s="20">
        <f t="shared" si="2"/>
        <v>45342</v>
      </c>
      <c r="E27" s="23">
        <f t="shared" si="0"/>
        <v>31</v>
      </c>
      <c r="F27" s="17">
        <f>IF(C26=$F$11,SUM($F$18:F26),IF(C27=B27,IF(C27=$F$11,I26,ROUND(H27-G27,2)),""))</f>
        <v>59086.15</v>
      </c>
      <c r="G27" s="17">
        <f>IF(C26=$F$11,SUM($G$18:G26),IF(C27=B27,ROUND(((($F$13+1)^((D27-D26)/360))-1)*I26,2),""))</f>
        <v>25866.18</v>
      </c>
      <c r="H27" s="17">
        <f>IF(C26=$F$11,SUM($H$18:H26),IF(C27=B27,IF(C27=$F$11,F27+G27,ROUND($I$17/VLOOKUP("Totales",$D$18:$K$117,8,FALSE),2)),""))</f>
        <v>84952.33</v>
      </c>
      <c r="I27" s="17">
        <f t="shared" si="3"/>
        <v>2431123.92</v>
      </c>
      <c r="J27" s="24"/>
      <c r="K27" s="25">
        <f>IF(C26=$F$11,SUM($K$18:K26),IF(C27=B27,1/((1+$F$14)^SUM($E$18:E27)),""))</f>
        <v>0.90332847461537502</v>
      </c>
      <c r="L27" s="26"/>
    </row>
    <row r="28" spans="2:13" x14ac:dyDescent="0.25">
      <c r="B28" s="18">
        <v>11</v>
      </c>
      <c r="C28" s="19">
        <f t="shared" si="1"/>
        <v>11</v>
      </c>
      <c r="D28" s="20">
        <f t="shared" si="2"/>
        <v>45371</v>
      </c>
      <c r="E28" s="23">
        <f t="shared" si="0"/>
        <v>29</v>
      </c>
      <c r="F28" s="17">
        <f>IF(C27=$F$11,SUM($F$18:F27),IF(C28=B28,IF(C28=$F$11,I27,ROUND(H28-G28,2)),""))</f>
        <v>61336.959999999999</v>
      </c>
      <c r="G28" s="17">
        <f>IF(C27=$F$11,SUM($G$18:G27),IF(C28=B28,ROUND(((($F$13+1)^((D28-D27)/360))-1)*I27,2),""))</f>
        <v>23615.37</v>
      </c>
      <c r="H28" s="17">
        <f>IF(C27=$F$11,SUM($H$18:H27),IF(C28=B28,IF(C28=$F$11,F28+G28,ROUND($I$17/VLOOKUP("Totales",$D$18:$K$117,8,FALSE),2)),""))</f>
        <v>84952.33</v>
      </c>
      <c r="I28" s="17">
        <f t="shared" si="3"/>
        <v>2369786.96</v>
      </c>
      <c r="J28" s="24"/>
      <c r="K28" s="25">
        <f>IF(C27=$F$11,SUM($K$18:K27),IF(C28=B28,1/((1+$F$14)^SUM($E$18:E28)),""))</f>
        <v>0.8946381679644333</v>
      </c>
      <c r="L28" s="26"/>
    </row>
    <row r="29" spans="2:13" x14ac:dyDescent="0.25">
      <c r="B29" s="18">
        <v>12</v>
      </c>
      <c r="C29" s="19">
        <f t="shared" si="1"/>
        <v>12</v>
      </c>
      <c r="D29" s="20">
        <f t="shared" si="2"/>
        <v>45402</v>
      </c>
      <c r="E29" s="23">
        <f t="shared" si="0"/>
        <v>31</v>
      </c>
      <c r="F29" s="17">
        <f>IF(C28=$F$11,SUM($F$18:F28),IF(C29=B29,IF(C29=$F$11,I28,ROUND(H29-G29,2)),""))</f>
        <v>60337</v>
      </c>
      <c r="G29" s="17">
        <f>IF(C28=$F$11,SUM($G$18:G28),IF(C29=B29,ROUND(((($F$13+1)^((D29-D28)/360))-1)*I28,2),""))</f>
        <v>24615.33</v>
      </c>
      <c r="H29" s="17">
        <f>IF(C28=$F$11,SUM($H$18:H28),IF(C29=B29,IF(C29=$F$11,F29+G29,ROUND($I$17/VLOOKUP("Totales",$D$18:$K$117,8,FALSE),2)),""))</f>
        <v>84952.33</v>
      </c>
      <c r="I29" s="17">
        <f t="shared" si="3"/>
        <v>2309449.96</v>
      </c>
      <c r="J29" s="24"/>
      <c r="K29" s="25">
        <f>IF(C28=$F$11,SUM($K$18:K28),IF(C29=B29,1/((1+$F$14)^SUM($E$18:E29)),""))</f>
        <v>0.88544096029466501</v>
      </c>
      <c r="L29" s="26"/>
    </row>
    <row r="30" spans="2:13" x14ac:dyDescent="0.25">
      <c r="B30" s="18">
        <v>13</v>
      </c>
      <c r="C30" s="19">
        <f t="shared" si="1"/>
        <v>13</v>
      </c>
      <c r="D30" s="20">
        <f t="shared" si="2"/>
        <v>45432</v>
      </c>
      <c r="E30" s="23">
        <f t="shared" si="0"/>
        <v>30</v>
      </c>
      <c r="F30" s="17">
        <f>IF(C29=$F$11,SUM($F$18:F29),IF(C30=B30,IF(C30=$F$11,I29,ROUND(H30-G30,2)),""))</f>
        <v>61741.43</v>
      </c>
      <c r="G30" s="17">
        <f>IF(C29=$F$11,SUM($G$18:G29),IF(C30=B30,ROUND(((($F$13+1)^((D30-D29)/360))-1)*I29,2),""))</f>
        <v>23210.9</v>
      </c>
      <c r="H30" s="17">
        <f>IF(C29=$F$11,SUM($H$18:H29),IF(C30=B30,IF(C30=$F$11,F30+G30,ROUND($I$17/VLOOKUP("Totales",$D$18:$K$117,8,FALSE),2)),""))</f>
        <v>84952.33</v>
      </c>
      <c r="I30" s="17">
        <f t="shared" si="3"/>
        <v>2247708.5299999998</v>
      </c>
      <c r="J30" s="24"/>
      <c r="K30" s="25">
        <f>IF(C29=$F$11,SUM($K$18:K29),IF(C30=B30,1/((1+$F$14)^SUM($E$18:E30)),""))</f>
        <v>0.87663047154288765</v>
      </c>
      <c r="L30" s="26"/>
    </row>
    <row r="31" spans="2:13" x14ac:dyDescent="0.25">
      <c r="B31" s="18">
        <v>14</v>
      </c>
      <c r="C31" s="19">
        <f t="shared" si="1"/>
        <v>14</v>
      </c>
      <c r="D31" s="20">
        <f t="shared" si="2"/>
        <v>45463</v>
      </c>
      <c r="E31" s="23">
        <f t="shared" si="0"/>
        <v>31</v>
      </c>
      <c r="F31" s="17">
        <f>IF(C30=$F$11,SUM($F$18:F30),IF(C31=B31,IF(C31=$F$11,I30,ROUND(H31-G31,2)),""))</f>
        <v>61605.05</v>
      </c>
      <c r="G31" s="17">
        <f>IF(C30=$F$11,SUM($G$18:G30),IF(C31=B31,ROUND(((($F$13+1)^((D31-D30)/360))-1)*I30,2),""))</f>
        <v>23347.279999999999</v>
      </c>
      <c r="H31" s="17">
        <f>IF(C30=$F$11,SUM($H$18:H30),IF(C31=B31,IF(C31=$F$11,F31+G31,ROUND($I$17/VLOOKUP("Totales",$D$18:$K$117,8,FALSE),2)),""))</f>
        <v>84952.33</v>
      </c>
      <c r="I31" s="17">
        <f t="shared" si="3"/>
        <v>2186103.48</v>
      </c>
      <c r="J31" s="24"/>
      <c r="K31" s="25">
        <f>IF(C30=$F$11,SUM($K$18:K30),IF(C31=B31,1/((1+$F$14)^SUM($E$18:E31)),""))</f>
        <v>0.86761838958044268</v>
      </c>
      <c r="L31" s="26"/>
    </row>
    <row r="32" spans="2:13" x14ac:dyDescent="0.25">
      <c r="B32" s="18">
        <v>15</v>
      </c>
      <c r="C32" s="19">
        <f t="shared" si="1"/>
        <v>15</v>
      </c>
      <c r="D32" s="20">
        <f t="shared" si="2"/>
        <v>45493</v>
      </c>
      <c r="E32" s="23">
        <f t="shared" si="0"/>
        <v>30</v>
      </c>
      <c r="F32" s="17">
        <f>IF(C31=$F$11,SUM($F$18:F31),IF(C32=B32,IF(C32=$F$11,I31,ROUND(H32-G32,2)),""))</f>
        <v>62981.11</v>
      </c>
      <c r="G32" s="17">
        <f>IF(C31=$F$11,SUM($G$18:G31),IF(C32=B32,ROUND(((($F$13+1)^((D32-D31)/360))-1)*I31,2),""))</f>
        <v>21971.22</v>
      </c>
      <c r="H32" s="17">
        <f>IF(C31=$F$11,SUM($H$18:H31),IF(C32=B32,IF(C32=$F$11,F32+G32,ROUND($I$17/VLOOKUP("Totales",$D$18:$K$117,8,FALSE),2)),""))</f>
        <v>84952.33</v>
      </c>
      <c r="I32" s="17">
        <f t="shared" si="3"/>
        <v>2123122.37</v>
      </c>
      <c r="J32" s="17"/>
      <c r="K32" s="25">
        <f>IF(C31=$F$11,SUM($K$18:K31),IF(C32=B32,1/((1+$F$14)^SUM($E$18:E32)),""))</f>
        <v>0.85898524247632679</v>
      </c>
    </row>
    <row r="33" spans="2:11" x14ac:dyDescent="0.25">
      <c r="B33" s="18">
        <v>16</v>
      </c>
      <c r="C33" s="19">
        <f t="shared" si="1"/>
        <v>16</v>
      </c>
      <c r="D33" s="20">
        <f t="shared" si="2"/>
        <v>45524</v>
      </c>
      <c r="E33" s="23">
        <f t="shared" si="0"/>
        <v>31</v>
      </c>
      <c r="F33" s="17">
        <f>IF(C32=$F$11,SUM($F$18:F32),IF(C33=B33,IF(C33=$F$11,I32,ROUND(H33-G33,2)),""))</f>
        <v>62899.14</v>
      </c>
      <c r="G33" s="17">
        <f>IF(C32=$F$11,SUM($G$18:G32),IF(C33=B33,ROUND(((($F$13+1)^((D33-D32)/360))-1)*I32,2),""))</f>
        <v>22053.19</v>
      </c>
      <c r="H33" s="17">
        <f>IF(C32=$F$11,SUM($H$18:H32),IF(C33=B33,IF(C33=$F$11,F33+G33,ROUND($I$17/VLOOKUP("Totales",$D$18:$K$117,8,FALSE),2)),""))</f>
        <v>84952.33</v>
      </c>
      <c r="I33" s="17">
        <f t="shared" si="3"/>
        <v>2060223.23</v>
      </c>
      <c r="J33" s="17"/>
      <c r="K33" s="25">
        <f>IF(C32=$F$11,SUM($K$18:K32),IF(C33=B33,1/((1+$F$14)^SUM($E$18:E33)),""))</f>
        <v>0.85015455992418776</v>
      </c>
    </row>
    <row r="34" spans="2:11" x14ac:dyDescent="0.25">
      <c r="B34" s="18">
        <v>17</v>
      </c>
      <c r="C34" s="19">
        <f t="shared" si="1"/>
        <v>17</v>
      </c>
      <c r="D34" s="20">
        <f t="shared" si="2"/>
        <v>45555</v>
      </c>
      <c r="E34" s="23">
        <f t="shared" si="0"/>
        <v>31</v>
      </c>
      <c r="F34" s="17">
        <f>IF(C33=$F$11,SUM($F$18:F33),IF(C34=B34,IF(C34=$F$11,I33,ROUND(H34-G34,2)),""))</f>
        <v>63552.480000000003</v>
      </c>
      <c r="G34" s="17">
        <f>IF(C33=$F$11,SUM($G$18:G33),IF(C34=B34,ROUND(((($F$13+1)^((D34-D33)/360))-1)*I33,2),""))</f>
        <v>21399.85</v>
      </c>
      <c r="H34" s="17">
        <f>IF(C33=$F$11,SUM($H$18:H33),IF(C34=B34,IF(C34=$F$11,F34+G34,ROUND($I$17/VLOOKUP("Totales",$D$18:$K$117,8,FALSE),2)),""))</f>
        <v>84952.33</v>
      </c>
      <c r="I34" s="17">
        <f t="shared" si="3"/>
        <v>1996670.75</v>
      </c>
      <c r="J34" s="17"/>
      <c r="K34" s="25">
        <f>IF(C33=$F$11,SUM($K$18:K33),IF(C34=B34,1/((1+$F$14)^SUM($E$18:E34)),""))</f>
        <v>0.84141466001938714</v>
      </c>
    </row>
    <row r="35" spans="2:11" x14ac:dyDescent="0.25">
      <c r="B35" s="18">
        <v>18</v>
      </c>
      <c r="C35" s="19">
        <f t="shared" si="1"/>
        <v>18</v>
      </c>
      <c r="D35" s="20">
        <f t="shared" si="2"/>
        <v>45585</v>
      </c>
      <c r="E35" s="23">
        <f t="shared" si="0"/>
        <v>30</v>
      </c>
      <c r="F35" s="17">
        <f>IF(C34=$F$11,SUM($F$18:F34),IF(C35=B35,IF(C35=$F$11,I34,ROUND(H35-G35,2)),""))</f>
        <v>64884.99</v>
      </c>
      <c r="G35" s="17">
        <f>IF(C34=$F$11,SUM($G$18:G34),IF(C35=B35,ROUND(((($F$13+1)^((D35-D34)/360))-1)*I34,2),""))</f>
        <v>20067.34</v>
      </c>
      <c r="H35" s="17">
        <f>IF(C34=$F$11,SUM($H$18:H34),IF(C35=B35,IF(C35=$F$11,F35+G35,ROUND($I$17/VLOOKUP("Totales",$D$18:$K$117,8,FALSE),2)),""))</f>
        <v>84952.33</v>
      </c>
      <c r="I35" s="17">
        <f t="shared" si="3"/>
        <v>1931785.76</v>
      </c>
      <c r="J35" s="17"/>
      <c r="K35" s="25">
        <f>IF(C34=$F$11,SUM($K$18:K34),IF(C35=B35,1/((1+$F$14)^SUM($E$18:E35)),""))</f>
        <v>0.83304225041771884</v>
      </c>
    </row>
    <row r="36" spans="2:11" x14ac:dyDescent="0.25">
      <c r="B36" s="18">
        <v>19</v>
      </c>
      <c r="C36" s="19">
        <f t="shared" si="1"/>
        <v>19</v>
      </c>
      <c r="D36" s="20">
        <f t="shared" si="2"/>
        <v>45616</v>
      </c>
      <c r="E36" s="23">
        <f t="shared" si="0"/>
        <v>31</v>
      </c>
      <c r="F36" s="17">
        <f>IF(C35=$F$11,SUM($F$18:F35),IF(C36=B36,IF(C36=$F$11,I35,ROUND(H36-G36,2)),""))</f>
        <v>64886.58</v>
      </c>
      <c r="G36" s="17">
        <f>IF(C35=$F$11,SUM($G$18:G35),IF(C36=B36,ROUND(((($F$13+1)^((D36-D35)/360))-1)*I35,2),""))</f>
        <v>20065.75</v>
      </c>
      <c r="H36" s="17">
        <f>IF(C35=$F$11,SUM($H$18:H35),IF(C36=B36,IF(C36=$F$11,F36+G36,ROUND($I$17/VLOOKUP("Totales",$D$18:$K$117,8,FALSE),2)),""))</f>
        <v>84952.33</v>
      </c>
      <c r="I36" s="17">
        <f t="shared" si="3"/>
        <v>1866899.18</v>
      </c>
      <c r="J36" s="17"/>
      <c r="K36" s="25">
        <f>IF(C35=$F$11,SUM($K$18:K35),IF(C36=B36,1/((1+$F$14)^SUM($E$18:E36)),""))</f>
        <v>0.82447827131517781</v>
      </c>
    </row>
    <row r="37" spans="2:11" x14ac:dyDescent="0.25">
      <c r="B37" s="18">
        <v>20</v>
      </c>
      <c r="C37" s="19">
        <f t="shared" si="1"/>
        <v>20</v>
      </c>
      <c r="D37" s="20">
        <f t="shared" si="2"/>
        <v>45646</v>
      </c>
      <c r="E37" s="23">
        <f t="shared" si="0"/>
        <v>30</v>
      </c>
      <c r="F37" s="17">
        <f>IF(C36=$F$11,SUM($F$18:F36),IF(C37=B37,IF(C37=$F$11,I36,ROUND(H37-G37,2)),""))</f>
        <v>66189.240000000005</v>
      </c>
      <c r="G37" s="17">
        <f>IF(C36=$F$11,SUM($G$18:G36),IF(C37=B37,ROUND(((($F$13+1)^((D37-D36)/360))-1)*I36,2),""))</f>
        <v>18763.09</v>
      </c>
      <c r="H37" s="17">
        <f>IF(C36=$F$11,SUM($H$18:H36),IF(C37=B37,IF(C37=$F$11,F37+G37,ROUND($I$17/VLOOKUP("Totales",$D$18:$K$117,8,FALSE),2)),""))</f>
        <v>84952.33</v>
      </c>
      <c r="I37" s="17">
        <f t="shared" si="3"/>
        <v>1800709.94</v>
      </c>
      <c r="J37" s="17"/>
      <c r="K37" s="25">
        <f>IF(C36=$F$11,SUM($K$18:K36),IF(C37=B37,1/((1+$F$14)^SUM($E$18:E37)),""))</f>
        <v>0.81627438549868048</v>
      </c>
    </row>
    <row r="38" spans="2:11" x14ac:dyDescent="0.25">
      <c r="B38" s="18">
        <v>21</v>
      </c>
      <c r="C38" s="19">
        <f t="shared" si="1"/>
        <v>21</v>
      </c>
      <c r="D38" s="20">
        <f t="shared" si="2"/>
        <v>45677</v>
      </c>
      <c r="E38" s="23">
        <f t="shared" si="0"/>
        <v>31</v>
      </c>
      <c r="F38" s="17">
        <f>IF(C37=$F$11,SUM($F$18:F37),IF(C38=B38,IF(C38=$F$11,I37,ROUND(H38-G38,2)),""))</f>
        <v>66248.09</v>
      </c>
      <c r="G38" s="17">
        <f>IF(C37=$F$11,SUM($G$18:G37),IF(C38=B38,ROUND(((($F$13+1)^((D38-D37)/360))-1)*I37,2),""))</f>
        <v>18704.240000000002</v>
      </c>
      <c r="H38" s="17">
        <f>IF(C37=$F$11,SUM($H$18:H37),IF(C38=B38,IF(C38=$F$11,F38+G38,ROUND($I$17/VLOOKUP("Totales",$D$18:$K$117,8,FALSE),2)),""))</f>
        <v>84952.33</v>
      </c>
      <c r="I38" s="17">
        <f t="shared" si="3"/>
        <v>1734461.85</v>
      </c>
      <c r="J38" s="17"/>
      <c r="K38" s="25">
        <f>IF(C37=$F$11,SUM($K$18:K37),IF(C38=B38,1/((1+$F$14)^SUM($E$18:E38)),""))</f>
        <v>0.80788278618202536</v>
      </c>
    </row>
    <row r="39" spans="2:11" x14ac:dyDescent="0.25">
      <c r="B39" s="18">
        <v>22</v>
      </c>
      <c r="C39" s="19">
        <f t="shared" si="1"/>
        <v>22</v>
      </c>
      <c r="D39" s="20">
        <f t="shared" si="2"/>
        <v>45708</v>
      </c>
      <c r="E39" s="23">
        <f t="shared" si="0"/>
        <v>31</v>
      </c>
      <c r="F39" s="17">
        <f>IF(C38=$F$11,SUM($F$18:F38),IF(C39=B39,IF(C39=$F$11,I38,ROUND(H39-G39,2)),""))</f>
        <v>66936.22</v>
      </c>
      <c r="G39" s="17">
        <f>IF(C38=$F$11,SUM($G$18:G38),IF(C39=B39,ROUND(((($F$13+1)^((D39-D38)/360))-1)*I38,2),""))</f>
        <v>18016.11</v>
      </c>
      <c r="H39" s="17">
        <f>IF(C38=$F$11,SUM($H$18:H38),IF(C39=B39,IF(C39=$F$11,F39+G39,ROUND($I$17/VLOOKUP("Totales",$D$18:$K$117,8,FALSE),2)),""))</f>
        <v>84952.33</v>
      </c>
      <c r="I39" s="17">
        <f t="shared" si="3"/>
        <v>1667525.63</v>
      </c>
      <c r="J39" s="17"/>
      <c r="K39" s="25">
        <f>IF(C38=$F$11,SUM($K$18:K38),IF(C39=B39,1/((1+$F$14)^SUM($E$18:E39)),""))</f>
        <v>0.79957745557640925</v>
      </c>
    </row>
    <row r="40" spans="2:11" x14ac:dyDescent="0.25">
      <c r="B40" s="18">
        <v>23</v>
      </c>
      <c r="C40" s="19">
        <f t="shared" si="1"/>
        <v>23</v>
      </c>
      <c r="D40" s="20">
        <f t="shared" si="2"/>
        <v>45736</v>
      </c>
      <c r="E40" s="23">
        <f t="shared" si="0"/>
        <v>28</v>
      </c>
      <c r="F40" s="17">
        <f>IF(C39=$F$11,SUM($F$18:F39),IF(C40=B40,IF(C40=$F$11,I39,ROUND(H40-G40,2)),""))</f>
        <v>69315.539999999994</v>
      </c>
      <c r="G40" s="17">
        <f>IF(C39=$F$11,SUM($G$18:G39),IF(C40=B40,ROUND(((($F$13+1)^((D40-D39)/360))-1)*I39,2),""))</f>
        <v>15636.79</v>
      </c>
      <c r="H40" s="17">
        <f>IF(C39=$F$11,SUM($H$18:H39),IF(C40=B40,IF(C40=$F$11,F40+G40,ROUND($I$17/VLOOKUP("Totales",$D$18:$K$117,8,FALSE),2)),""))</f>
        <v>84952.33</v>
      </c>
      <c r="I40" s="17">
        <f t="shared" si="3"/>
        <v>1598210.09</v>
      </c>
      <c r="J40" s="17"/>
      <c r="K40" s="25">
        <f>IF(C39=$F$11,SUM($K$18:K39),IF(C40=B40,1/((1+$F$14)^SUM($E$18:E40)),""))</f>
        <v>0.79214927855868777</v>
      </c>
    </row>
    <row r="41" spans="2:11" x14ac:dyDescent="0.25">
      <c r="B41" s="18">
        <v>24</v>
      </c>
      <c r="C41" s="19">
        <f t="shared" si="1"/>
        <v>24</v>
      </c>
      <c r="D41" s="20">
        <f t="shared" si="2"/>
        <v>45767</v>
      </c>
      <c r="E41" s="23">
        <f t="shared" si="0"/>
        <v>31</v>
      </c>
      <c r="F41" s="17">
        <f>IF(C40=$F$11,SUM($F$18:F40),IF(C41=B41,IF(C41=$F$11,I40,ROUND(H41-G41,2)),""))</f>
        <v>68351.48</v>
      </c>
      <c r="G41" s="17">
        <f>IF(C40=$F$11,SUM($G$18:G40),IF(C41=B41,ROUND(((($F$13+1)^((D41-D40)/360))-1)*I40,2),""))</f>
        <v>16600.849999999999</v>
      </c>
      <c r="H41" s="17">
        <f>IF(C40=$F$11,SUM($H$18:H40),IF(C41=B41,IF(C41=$F$11,F41+G41,ROUND($I$17/VLOOKUP("Totales",$D$18:$K$117,8,FALSE),2)),""))</f>
        <v>84952.33</v>
      </c>
      <c r="I41" s="17">
        <f t="shared" si="3"/>
        <v>1529858.61</v>
      </c>
      <c r="J41" s="17"/>
      <c r="K41" s="25">
        <f>IF(C40=$F$11,SUM($K$18:K40),IF(C41=B41,1/((1+$F$14)^SUM($E$18:E41)),""))</f>
        <v>0.78400569416753829</v>
      </c>
    </row>
    <row r="42" spans="2:11" x14ac:dyDescent="0.25">
      <c r="B42" s="18">
        <v>25</v>
      </c>
      <c r="C42" s="19">
        <f t="shared" si="1"/>
        <v>25</v>
      </c>
      <c r="D42" s="20">
        <f t="shared" si="2"/>
        <v>45797</v>
      </c>
      <c r="E42" s="23">
        <f t="shared" si="0"/>
        <v>30</v>
      </c>
      <c r="F42" s="17">
        <f>IF(C41=$F$11,SUM($F$18:F41),IF(C42=B42,IF(C42=$F$11,I41,ROUND(H42-G42,2)),""))</f>
        <v>69576.639999999999</v>
      </c>
      <c r="G42" s="17">
        <f>IF(C41=$F$11,SUM($G$18:G41),IF(C42=B42,ROUND(((($F$13+1)^((D42-D41)/360))-1)*I41,2),""))</f>
        <v>15375.69</v>
      </c>
      <c r="H42" s="17">
        <f>IF(C41=$F$11,SUM($H$18:H41),IF(C42=B42,IF(C42=$F$11,F42+G42,ROUND($I$17/VLOOKUP("Totales",$D$18:$K$117,8,FALSE),2)),""))</f>
        <v>84952.33</v>
      </c>
      <c r="I42" s="17">
        <f t="shared" si="3"/>
        <v>1460281.97</v>
      </c>
      <c r="J42" s="17"/>
      <c r="K42" s="25">
        <f>IF(C41=$F$11,SUM($K$18:K41),IF(C42=B42,1/((1+$F$14)^SUM($E$18:E42)),""))</f>
        <v>0.7762045265464993</v>
      </c>
    </row>
    <row r="43" spans="2:11" x14ac:dyDescent="0.25">
      <c r="B43" s="18">
        <v>26</v>
      </c>
      <c r="C43" s="19">
        <f t="shared" si="1"/>
        <v>26</v>
      </c>
      <c r="D43" s="20">
        <f t="shared" si="2"/>
        <v>45828</v>
      </c>
      <c r="E43" s="23">
        <f t="shared" si="0"/>
        <v>31</v>
      </c>
      <c r="F43" s="17">
        <f>IF(C42=$F$11,SUM($F$18:F42),IF(C43=B43,IF(C43=$F$11,I42,ROUND(H43-G43,2)),""))</f>
        <v>69784.160000000003</v>
      </c>
      <c r="G43" s="17">
        <f>IF(C42=$F$11,SUM($G$18:G42),IF(C43=B43,ROUND(((($F$13+1)^((D43-D42)/360))-1)*I42,2),""))</f>
        <v>15168.17</v>
      </c>
      <c r="H43" s="17">
        <f>IF(C42=$F$11,SUM($H$18:H42),IF(C43=B43,IF(C43=$F$11,F43+G43,ROUND($I$17/VLOOKUP("Totales",$D$18:$K$117,8,FALSE),2)),""))</f>
        <v>84952.33</v>
      </c>
      <c r="I43" s="17">
        <f t="shared" si="3"/>
        <v>1390497.81</v>
      </c>
      <c r="J43" s="17"/>
      <c r="K43" s="25">
        <f>IF(C42=$F$11,SUM($K$18:K42),IF(C43=B43,1/((1+$F$14)^SUM($E$18:E43)),""))</f>
        <v>0.76822486003941814</v>
      </c>
    </row>
    <row r="44" spans="2:11" x14ac:dyDescent="0.25">
      <c r="B44" s="18">
        <v>27</v>
      </c>
      <c r="C44" s="19">
        <f t="shared" si="1"/>
        <v>27</v>
      </c>
      <c r="D44" s="20">
        <f t="shared" si="2"/>
        <v>45858</v>
      </c>
      <c r="E44" s="23">
        <f t="shared" si="0"/>
        <v>30</v>
      </c>
      <c r="F44" s="17">
        <f>IF(C43=$F$11,SUM($F$18:F43),IF(C44=B44,IF(C44=$F$11,I43,ROUND(H44-G44,2)),""))</f>
        <v>70977.27</v>
      </c>
      <c r="G44" s="17">
        <f>IF(C43=$F$11,SUM($G$18:G43),IF(C44=B44,ROUND(((($F$13+1)^((D44-D43)/360))-1)*I43,2),""))</f>
        <v>13975.06</v>
      </c>
      <c r="H44" s="17">
        <f>IF(C43=$F$11,SUM($H$18:H43),IF(C44=B44,IF(C44=$F$11,F44+G44,ROUND($I$17/VLOOKUP("Totales",$D$18:$K$117,8,FALSE),2)),""))</f>
        <v>84952.33</v>
      </c>
      <c r="I44" s="17">
        <f t="shared" si="3"/>
        <v>1319520.54</v>
      </c>
      <c r="J44" s="17"/>
      <c r="K44" s="25">
        <f>IF(C43=$F$11,SUM($K$18:K43),IF(C44=B44,1/((1+$F$14)^SUM($E$18:E44)),""))</f>
        <v>0.76058071797718452</v>
      </c>
    </row>
    <row r="45" spans="2:11" x14ac:dyDescent="0.25">
      <c r="B45" s="18">
        <v>28</v>
      </c>
      <c r="C45" s="19">
        <f t="shared" si="1"/>
        <v>28</v>
      </c>
      <c r="D45" s="20">
        <f t="shared" si="2"/>
        <v>45889</v>
      </c>
      <c r="E45" s="23">
        <f t="shared" si="0"/>
        <v>31</v>
      </c>
      <c r="F45" s="17">
        <f>IF(C44=$F$11,SUM($F$18:F44),IF(C45=B45,IF(C45=$F$11,I44,ROUND(H45-G45,2)),""))</f>
        <v>71246.27</v>
      </c>
      <c r="G45" s="17">
        <f>IF(C44=$F$11,SUM($G$18:G44),IF(C45=B45,ROUND(((($F$13+1)^((D45-D44)/360))-1)*I44,2),""))</f>
        <v>13706.06</v>
      </c>
      <c r="H45" s="17">
        <f>IF(C44=$F$11,SUM($H$18:H44),IF(C45=B45,IF(C45=$F$11,F45+G45,ROUND($I$17/VLOOKUP("Totales",$D$18:$K$117,8,FALSE),2)),""))</f>
        <v>84952.33</v>
      </c>
      <c r="I45" s="17">
        <f t="shared" si="3"/>
        <v>1248274.27</v>
      </c>
      <c r="J45" s="17"/>
      <c r="K45" s="25">
        <f>IF(C44=$F$11,SUM($K$18:K44),IF(C45=B45,1/((1+$F$14)^SUM($E$18:E45)),""))</f>
        <v>0.75276166993816107</v>
      </c>
    </row>
    <row r="46" spans="2:11" x14ac:dyDescent="0.25">
      <c r="B46" s="18">
        <v>29</v>
      </c>
      <c r="C46" s="19">
        <f t="shared" si="1"/>
        <v>29</v>
      </c>
      <c r="D46" s="20">
        <f t="shared" si="2"/>
        <v>45920</v>
      </c>
      <c r="E46" s="23">
        <f t="shared" si="0"/>
        <v>31</v>
      </c>
      <c r="F46" s="17">
        <f>IF(C45=$F$11,SUM($F$18:F45),IF(C46=B46,IF(C46=$F$11,I45,ROUND(H46-G46,2)),""))</f>
        <v>71986.320000000007</v>
      </c>
      <c r="G46" s="17">
        <f>IF(C45=$F$11,SUM($G$18:G45),IF(C46=B46,ROUND(((($F$13+1)^((D46-D45)/360))-1)*I45,2),""))</f>
        <v>12966.01</v>
      </c>
      <c r="H46" s="17">
        <f>IF(C45=$F$11,SUM($H$18:H45),IF(C46=B46,IF(C46=$F$11,F46+G46,ROUND($I$17/VLOOKUP("Totales",$D$18:$K$117,8,FALSE),2)),""))</f>
        <v>84952.33</v>
      </c>
      <c r="I46" s="17">
        <f t="shared" si="3"/>
        <v>1176287.95</v>
      </c>
      <c r="J46" s="17"/>
      <c r="K46" s="25">
        <f>IF(C45=$F$11,SUM($K$18:K45),IF(C46=B46,1/((1+$F$14)^SUM($E$18:E46)),""))</f>
        <v>0.74502300457357518</v>
      </c>
    </row>
    <row r="47" spans="2:11" x14ac:dyDescent="0.25">
      <c r="B47" s="18">
        <v>30</v>
      </c>
      <c r="C47" s="19">
        <f t="shared" si="1"/>
        <v>30</v>
      </c>
      <c r="D47" s="20">
        <f t="shared" si="2"/>
        <v>45950</v>
      </c>
      <c r="E47" s="23">
        <f t="shared" si="0"/>
        <v>30</v>
      </c>
      <c r="F47" s="17">
        <f>IF(C46=$F$11,SUM($F$18:F46),IF(C47=B47,IF(C47=$F$11,I46,ROUND(H47-G47,2)),""))</f>
        <v>73130.16</v>
      </c>
      <c r="G47" s="17">
        <f>IF(C46=$F$11,SUM($G$18:G46),IF(C47=B47,ROUND(((($F$13+1)^((D47-D46)/360))-1)*I46,2),""))</f>
        <v>11822.17</v>
      </c>
      <c r="H47" s="17">
        <f>IF(C46=$F$11,SUM($H$18:H46),IF(C47=B47,IF(C47=$F$11,F47+G47,ROUND($I$17/VLOOKUP("Totales",$D$18:$K$117,8,FALSE),2)),""))</f>
        <v>84952.33</v>
      </c>
      <c r="I47" s="17">
        <f t="shared" si="3"/>
        <v>1103157.79</v>
      </c>
      <c r="J47" s="17"/>
      <c r="K47" s="25">
        <f>IF(C46=$F$11,SUM($K$18:K46),IF(C47=B47,1/((1+$F$14)^SUM($E$18:E47)),""))</f>
        <v>0.73760973017589371</v>
      </c>
    </row>
    <row r="48" spans="2:11" x14ac:dyDescent="0.25">
      <c r="B48" s="18">
        <v>31</v>
      </c>
      <c r="C48" s="19">
        <f t="shared" si="1"/>
        <v>31</v>
      </c>
      <c r="D48" s="20">
        <f t="shared" si="2"/>
        <v>45981</v>
      </c>
      <c r="E48" s="23">
        <f t="shared" si="0"/>
        <v>31</v>
      </c>
      <c r="F48" s="17">
        <f>IF(C47=$F$11,SUM($F$18:F47),IF(C48=B48,IF(C48=$F$11,I47,ROUND(H48-G48,2)),""))</f>
        <v>73493.67</v>
      </c>
      <c r="G48" s="17">
        <f>IF(C47=$F$11,SUM($G$18:G47),IF(C48=B48,ROUND(((($F$13+1)^((D48-D47)/360))-1)*I47,2),""))</f>
        <v>11458.66</v>
      </c>
      <c r="H48" s="17">
        <f>IF(C47=$F$11,SUM($H$18:H47),IF(C48=B48,IF(C48=$F$11,F48+G48,ROUND($I$17/VLOOKUP("Totales",$D$18:$K$117,8,FALSE),2)),""))</f>
        <v>84952.33</v>
      </c>
      <c r="I48" s="17">
        <f t="shared" si="3"/>
        <v>1029664.12</v>
      </c>
      <c r="J48" s="17"/>
      <c r="K48" s="25">
        <f>IF(C47=$F$11,SUM($K$18:K47),IF(C48=B48,1/((1+$F$14)^SUM($E$18:E48)),""))</f>
        <v>0.73002683229539655</v>
      </c>
    </row>
    <row r="49" spans="2:11" x14ac:dyDescent="0.25">
      <c r="B49" s="18">
        <v>32</v>
      </c>
      <c r="C49" s="19">
        <f t="shared" si="1"/>
        <v>32</v>
      </c>
      <c r="D49" s="20">
        <f t="shared" si="2"/>
        <v>46011</v>
      </c>
      <c r="E49" s="23">
        <f t="shared" si="0"/>
        <v>30</v>
      </c>
      <c r="F49" s="17">
        <f>IF(C48=$F$11,SUM($F$18:F48),IF(C49=B49,IF(C49=$F$11,I48,ROUND(H49-G49,2)),""))</f>
        <v>74603.789999999994</v>
      </c>
      <c r="G49" s="17">
        <f>IF(C48=$F$11,SUM($G$18:G48),IF(C49=B49,ROUND(((($F$13+1)^((D49-D48)/360))-1)*I48,2),""))</f>
        <v>10348.540000000001</v>
      </c>
      <c r="H49" s="17">
        <f>IF(C48=$F$11,SUM($H$18:H48),IF(C49=B49,IF(C49=$F$11,F49+G49,ROUND($I$17/VLOOKUP("Totales",$D$18:$K$117,8,FALSE),2)),""))</f>
        <v>84952.33</v>
      </c>
      <c r="I49" s="17">
        <f t="shared" si="3"/>
        <v>955060.33</v>
      </c>
      <c r="J49" s="17"/>
      <c r="K49" s="25">
        <f>IF(C48=$F$11,SUM($K$18:K48),IF(C49=B49,1/((1+$F$14)^SUM($E$18:E49)),""))</f>
        <v>0.72276277575988912</v>
      </c>
    </row>
    <row r="50" spans="2:11" x14ac:dyDescent="0.25">
      <c r="B50" s="18">
        <v>33</v>
      </c>
      <c r="C50" s="19">
        <f t="shared" si="1"/>
        <v>33</v>
      </c>
      <c r="D50" s="20">
        <f t="shared" si="2"/>
        <v>46042</v>
      </c>
      <c r="E50" s="23">
        <f t="shared" si="0"/>
        <v>31</v>
      </c>
      <c r="F50" s="17">
        <f>IF(C49=$F$11,SUM($F$18:F49),IF(C50=B50,IF(C50=$F$11,I49,ROUND(H50-G50,2)),""))</f>
        <v>75031.98</v>
      </c>
      <c r="G50" s="17">
        <f>IF(C49=$F$11,SUM($G$18:G49),IF(C50=B50,ROUND(((($F$13+1)^((D50-D49)/360))-1)*I49,2),""))</f>
        <v>9920.35</v>
      </c>
      <c r="H50" s="17">
        <f>IF(C49=$F$11,SUM($H$18:H49),IF(C50=B50,IF(C50=$F$11,F50+G50,ROUND($I$17/VLOOKUP("Totales",$D$18:$K$117,8,FALSE),2)),""))</f>
        <v>84952.33</v>
      </c>
      <c r="I50" s="17">
        <f t="shared" si="3"/>
        <v>880028.35</v>
      </c>
      <c r="J50" s="17"/>
      <c r="K50" s="25">
        <f>IF(C49=$F$11,SUM($K$18:K49),IF(C50=B50,1/((1+$F$14)^SUM($E$18:E50)),""))</f>
        <v>0.71533251000254183</v>
      </c>
    </row>
    <row r="51" spans="2:11" x14ac:dyDescent="0.25">
      <c r="B51" s="18">
        <v>34</v>
      </c>
      <c r="C51" s="19">
        <f t="shared" si="1"/>
        <v>34</v>
      </c>
      <c r="D51" s="20">
        <f t="shared" si="2"/>
        <v>46073</v>
      </c>
      <c r="E51" s="23">
        <f t="shared" si="0"/>
        <v>31</v>
      </c>
      <c r="F51" s="17">
        <f>IF(C50=$F$11,SUM($F$18:F50),IF(C51=B51,IF(C51=$F$11,I50,ROUND(H51-G51,2)),""))</f>
        <v>75811.34</v>
      </c>
      <c r="G51" s="17">
        <f>IF(C50=$F$11,SUM($G$18:G50),IF(C51=B51,ROUND(((($F$13+1)^((D51-D50)/360))-1)*I50,2),""))</f>
        <v>9140.99</v>
      </c>
      <c r="H51" s="17">
        <f>IF(C50=$F$11,SUM($H$18:H50),IF(C51=B51,IF(C51=$F$11,F51+G51,ROUND($I$17/VLOOKUP("Totales",$D$18:$K$117,8,FALSE),2)),""))</f>
        <v>84952.33</v>
      </c>
      <c r="I51" s="17">
        <f t="shared" si="3"/>
        <v>804217.01</v>
      </c>
      <c r="J51" s="17"/>
      <c r="K51" s="25">
        <f>IF(C50=$F$11,SUM($K$18:K50),IF(C51=B51,1/((1+$F$14)^SUM($E$18:E51)),""))</f>
        <v>0.70797863009554074</v>
      </c>
    </row>
    <row r="52" spans="2:11" x14ac:dyDescent="0.25">
      <c r="B52" s="18">
        <v>35</v>
      </c>
      <c r="C52" s="19">
        <f t="shared" si="1"/>
        <v>35</v>
      </c>
      <c r="D52" s="20">
        <f t="shared" si="2"/>
        <v>46101</v>
      </c>
      <c r="E52" s="23">
        <f t="shared" si="0"/>
        <v>28</v>
      </c>
      <c r="F52" s="17">
        <f>IF(C51=$F$11,SUM($F$18:F51),IF(C52=B52,IF(C52=$F$11,I51,ROUND(H52-G52,2)),""))</f>
        <v>77410.990000000005</v>
      </c>
      <c r="G52" s="17">
        <f>IF(C51=$F$11,SUM($G$18:G51),IF(C52=B52,ROUND(((($F$13+1)^((D52-D51)/360))-1)*I51,2),""))</f>
        <v>7541.34</v>
      </c>
      <c r="H52" s="17">
        <f>IF(C51=$F$11,SUM($H$18:H51),IF(C52=B52,IF(C52=$F$11,F52+G52,ROUND($I$17/VLOOKUP("Totales",$D$18:$K$117,8,FALSE),2)),""))</f>
        <v>84952.33</v>
      </c>
      <c r="I52" s="17">
        <f t="shared" si="3"/>
        <v>726806.02</v>
      </c>
      <c r="J52" s="17"/>
      <c r="K52" s="25">
        <f>IF(C51=$F$11,SUM($K$18:K51),IF(C52=B52,1/((1+$F$14)^SUM($E$18:E52)),""))</f>
        <v>0.70140141790373045</v>
      </c>
    </row>
    <row r="53" spans="2:11" x14ac:dyDescent="0.25">
      <c r="B53" s="18">
        <v>36</v>
      </c>
      <c r="C53" s="19">
        <f t="shared" si="1"/>
        <v>36</v>
      </c>
      <c r="D53" s="20">
        <f t="shared" si="2"/>
        <v>46132</v>
      </c>
      <c r="E53" s="23">
        <f t="shared" si="0"/>
        <v>31</v>
      </c>
      <c r="F53" s="17">
        <f>IF(C52=$F$11,SUM($F$18:F52),IF(C53=B53,IF(C53=$F$11,I52,ROUND(H53-G53,2)),""))</f>
        <v>77402.89</v>
      </c>
      <c r="G53" s="17">
        <f>IF(C52=$F$11,SUM($G$18:G52),IF(C53=B53,ROUND(((($F$13+1)^((D53-D52)/360))-1)*I52,2),""))</f>
        <v>7549.44</v>
      </c>
      <c r="H53" s="17">
        <f>IF(C52=$F$11,SUM($H$18:H52),IF(C53=B53,IF(C53=$F$11,F53+G53,ROUND($I$17/VLOOKUP("Totales",$D$18:$K$117,8,FALSE),2)),""))</f>
        <v>84952.33</v>
      </c>
      <c r="I53" s="17">
        <f t="shared" si="3"/>
        <v>649403.13</v>
      </c>
      <c r="J53" s="17"/>
      <c r="K53" s="25">
        <f>IF(C52=$F$11,SUM($K$18:K52),IF(C53=B53,1/((1+$F$14)^SUM($E$18:E53)),""))</f>
        <v>0.69419075472019076</v>
      </c>
    </row>
    <row r="54" spans="2:11" x14ac:dyDescent="0.25">
      <c r="B54" s="18">
        <v>37</v>
      </c>
      <c r="C54" s="19">
        <f t="shared" si="1"/>
        <v>37</v>
      </c>
      <c r="D54" s="20">
        <f t="shared" si="2"/>
        <v>46162</v>
      </c>
      <c r="E54" s="23">
        <f t="shared" si="0"/>
        <v>30</v>
      </c>
      <c r="F54" s="17">
        <f>IF(C53=$F$11,SUM($F$18:F53),IF(C54=B54,IF(C54=$F$11,I53,ROUND(H54-G54,2)),""))</f>
        <v>78425.570000000007</v>
      </c>
      <c r="G54" s="17">
        <f>IF(C53=$F$11,SUM($G$18:G53),IF(C54=B54,ROUND(((($F$13+1)^((D54-D53)/360))-1)*I53,2),""))</f>
        <v>6526.76</v>
      </c>
      <c r="H54" s="17">
        <f>IF(C53=$F$11,SUM($H$18:H53),IF(C54=B54,IF(C54=$F$11,F54+G54,ROUND($I$17/VLOOKUP("Totales",$D$18:$K$117,8,FALSE),2)),""))</f>
        <v>84952.33</v>
      </c>
      <c r="I54" s="17">
        <f t="shared" si="3"/>
        <v>570977.56000000006</v>
      </c>
      <c r="J54" s="17"/>
      <c r="K54" s="25">
        <f>IF(C53=$F$11,SUM($K$18:K53),IF(C54=B54,1/((1+$F$14)^SUM($E$18:E54)),""))</f>
        <v>0.68728328137039807</v>
      </c>
    </row>
    <row r="55" spans="2:11" x14ac:dyDescent="0.25">
      <c r="B55" s="18">
        <v>38</v>
      </c>
      <c r="C55" s="19">
        <f t="shared" si="1"/>
        <v>38</v>
      </c>
      <c r="D55" s="20">
        <f t="shared" si="2"/>
        <v>46193</v>
      </c>
      <c r="E55" s="23">
        <f t="shared" si="0"/>
        <v>31</v>
      </c>
      <c r="F55" s="17">
        <f>IF(C54=$F$11,SUM($F$18:F54),IF(C55=B55,IF(C55=$F$11,I54,ROUND(H55-G55,2)),""))</f>
        <v>79021.5</v>
      </c>
      <c r="G55" s="17">
        <f>IF(C54=$F$11,SUM($G$18:G54),IF(C55=B55,ROUND(((($F$13+1)^((D55-D54)/360))-1)*I54,2),""))</f>
        <v>5930.83</v>
      </c>
      <c r="H55" s="17">
        <f>IF(C54=$F$11,SUM($H$18:H54),IF(C55=B55,IF(C55=$F$11,F55+G55,ROUND($I$17/VLOOKUP("Totales",$D$18:$K$117,8,FALSE),2)),""))</f>
        <v>84952.33</v>
      </c>
      <c r="I55" s="17">
        <f t="shared" si="3"/>
        <v>491956.06</v>
      </c>
      <c r="J55" s="17"/>
      <c r="K55" s="25">
        <f>IF(C54=$F$11,SUM($K$18:K54),IF(C55=B55,1/((1+$F$14)^SUM($E$18:E55)),""))</f>
        <v>0.68021775779553695</v>
      </c>
    </row>
    <row r="56" spans="2:11" x14ac:dyDescent="0.25">
      <c r="B56" s="18">
        <v>39</v>
      </c>
      <c r="C56" s="19">
        <f t="shared" si="1"/>
        <v>39</v>
      </c>
      <c r="D56" s="20">
        <f t="shared" si="2"/>
        <v>46223</v>
      </c>
      <c r="E56" s="23">
        <f t="shared" si="0"/>
        <v>30</v>
      </c>
      <c r="F56" s="17">
        <f>IF(C55=$F$11,SUM($F$18:F55),IF(C56=B56,IF(C56=$F$11,I55,ROUND(H56-G56,2)),""))</f>
        <v>80007.97</v>
      </c>
      <c r="G56" s="17">
        <f>IF(C55=$F$11,SUM($G$18:G55),IF(C56=B56,ROUND(((($F$13+1)^((D56-D55)/360))-1)*I55,2),""))</f>
        <v>4944.3599999999997</v>
      </c>
      <c r="H56" s="17">
        <f>IF(C55=$F$11,SUM($H$18:H55),IF(C56=B56,IF(C56=$F$11,F56+G56,ROUND($I$17/VLOOKUP("Totales",$D$18:$K$117,8,FALSE),2)),""))</f>
        <v>84952.33</v>
      </c>
      <c r="I56" s="17">
        <f t="shared" si="3"/>
        <v>411948.09</v>
      </c>
      <c r="J56" s="17"/>
      <c r="K56" s="25">
        <f>IF(C55=$F$11,SUM($K$18:K55),IF(C56=B56,1/((1+$F$14)^SUM($E$18:E56)),""))</f>
        <v>0.67344932130732404</v>
      </c>
    </row>
    <row r="57" spans="2:11" x14ac:dyDescent="0.25">
      <c r="B57" s="18">
        <v>40</v>
      </c>
      <c r="C57" s="19">
        <f t="shared" si="1"/>
        <v>40</v>
      </c>
      <c r="D57" s="20">
        <f t="shared" si="2"/>
        <v>46254</v>
      </c>
      <c r="E57" s="23">
        <f t="shared" si="0"/>
        <v>31</v>
      </c>
      <c r="F57" s="17">
        <f>IF(C56=$F$11,SUM($F$18:F56),IF(C57=B57,IF(C57=$F$11,I56,ROUND(H57-G57,2)),""))</f>
        <v>80673.36</v>
      </c>
      <c r="G57" s="17">
        <f>IF(C56=$F$11,SUM($G$18:G56),IF(C57=B57,ROUND(((($F$13+1)^((D57-D56)/360))-1)*I56,2),""))</f>
        <v>4278.97</v>
      </c>
      <c r="H57" s="17">
        <f>IF(C56=$F$11,SUM($H$18:H56),IF(C57=B57,IF(C57=$F$11,F57+G57,ROUND($I$17/VLOOKUP("Totales",$D$18:$K$117,8,FALSE),2)),""))</f>
        <v>84952.33</v>
      </c>
      <c r="I57" s="17">
        <f t="shared" si="3"/>
        <v>331274.73</v>
      </c>
      <c r="J57" s="17"/>
      <c r="K57" s="25">
        <f>IF(C56=$F$11,SUM($K$18:K56),IF(C57=B57,1/((1+$F$14)^SUM($E$18:E57)),""))</f>
        <v>0.66652601590306093</v>
      </c>
    </row>
    <row r="58" spans="2:11" x14ac:dyDescent="0.25">
      <c r="B58" s="18">
        <v>41</v>
      </c>
      <c r="C58" s="19">
        <f t="shared" si="1"/>
        <v>41</v>
      </c>
      <c r="D58" s="20">
        <f t="shared" si="2"/>
        <v>46285</v>
      </c>
      <c r="E58" s="23">
        <f t="shared" si="0"/>
        <v>31</v>
      </c>
      <c r="F58" s="17">
        <f>IF(C57=$F$11,SUM($F$18:F57),IF(C58=B58,IF(C58=$F$11,I57,ROUND(H58-G58,2)),""))</f>
        <v>81511.33</v>
      </c>
      <c r="G58" s="17">
        <f>IF(C57=$F$11,SUM($G$18:G57),IF(C58=B58,ROUND(((($F$13+1)^((D58-D57)/360))-1)*I57,2),""))</f>
        <v>3441</v>
      </c>
      <c r="H58" s="17">
        <f>IF(C57=$F$11,SUM($H$18:H57),IF(C58=B58,IF(C58=$F$11,F58+G58,ROUND($I$17/VLOOKUP("Totales",$D$18:$K$117,8,FALSE),2)),""))</f>
        <v>84952.33</v>
      </c>
      <c r="I58" s="17">
        <f t="shared" si="3"/>
        <v>249763.4</v>
      </c>
      <c r="J58" s="17"/>
      <c r="K58" s="25">
        <f>IF(C57=$F$11,SUM($K$18:K57),IF(C58=B58,1/((1+$F$14)^SUM($E$18:E58)),""))</f>
        <v>0.65967388461124288</v>
      </c>
    </row>
    <row r="59" spans="2:11" x14ac:dyDescent="0.25">
      <c r="B59" s="18">
        <v>42</v>
      </c>
      <c r="C59" s="19">
        <f t="shared" si="1"/>
        <v>42</v>
      </c>
      <c r="D59" s="20">
        <f t="shared" si="2"/>
        <v>46315</v>
      </c>
      <c r="E59" s="23">
        <f t="shared" si="0"/>
        <v>30</v>
      </c>
      <c r="F59" s="17">
        <f>IF(C58=$F$11,SUM($F$18:F58),IF(C59=B59,IF(C59=$F$11,I58,ROUND(H59-G59,2)),""))</f>
        <v>82442.11</v>
      </c>
      <c r="G59" s="17">
        <f>IF(C58=$F$11,SUM($G$18:G58),IF(C59=B59,ROUND(((($F$13+1)^((D59-D58)/360))-1)*I58,2),""))</f>
        <v>2510.2199999999998</v>
      </c>
      <c r="H59" s="17">
        <f>IF(C58=$F$11,SUM($H$18:H58),IF(C59=B59,IF(C59=$F$11,F59+G59,ROUND($I$17/VLOOKUP("Totales",$D$18:$K$117,8,FALSE),2)),""))</f>
        <v>84952.33</v>
      </c>
      <c r="I59" s="17">
        <f t="shared" si="3"/>
        <v>167321.29</v>
      </c>
      <c r="J59" s="17"/>
      <c r="K59" s="25">
        <f>IF(C58=$F$11,SUM($K$18:K58),IF(C59=B59,1/((1+$F$14)^SUM($E$18:E59)),""))</f>
        <v>0.65310986780963198</v>
      </c>
    </row>
    <row r="60" spans="2:11" x14ac:dyDescent="0.25">
      <c r="B60" s="18">
        <v>43</v>
      </c>
      <c r="C60" s="19">
        <f t="shared" si="1"/>
        <v>43</v>
      </c>
      <c r="D60" s="20">
        <f t="shared" si="2"/>
        <v>46346</v>
      </c>
      <c r="E60" s="23">
        <f t="shared" si="0"/>
        <v>31</v>
      </c>
      <c r="F60" s="17">
        <f>IF(C59=$F$11,SUM($F$18:F59),IF(C60=B60,IF(C60=$F$11,I59,ROUND(H60-G60,2)),""))</f>
        <v>83214.34</v>
      </c>
      <c r="G60" s="17">
        <f>IF(C59=$F$11,SUM($G$18:G59),IF(C60=B60,ROUND(((($F$13+1)^((D60-D59)/360))-1)*I59,2),""))</f>
        <v>1737.99</v>
      </c>
      <c r="H60" s="17">
        <f>IF(C59=$F$11,SUM($H$18:H59),IF(C60=B60,IF(C60=$F$11,F60+G60,ROUND($I$17/VLOOKUP("Totales",$D$18:$K$117,8,FALSE),2)),""))</f>
        <v>84952.33</v>
      </c>
      <c r="I60" s="17">
        <f t="shared" si="3"/>
        <v>84106.95</v>
      </c>
      <c r="J60" s="17"/>
      <c r="K60" s="25">
        <f>IF(C59=$F$11,SUM($K$18:K59),IF(C60=B60,1/((1+$F$14)^SUM($E$18:E60)),""))</f>
        <v>0.64639565942850818</v>
      </c>
    </row>
    <row r="61" spans="2:11" x14ac:dyDescent="0.25">
      <c r="B61" s="18">
        <v>44</v>
      </c>
      <c r="C61" s="19">
        <f t="shared" si="1"/>
        <v>44</v>
      </c>
      <c r="D61" s="20">
        <f t="shared" si="2"/>
        <v>46376</v>
      </c>
      <c r="E61" s="23">
        <f t="shared" si="0"/>
        <v>30</v>
      </c>
      <c r="F61" s="17">
        <f>IF(C60=$F$11,SUM($F$18:F60),IF(C61=B61,IF(C61=$F$11,I60,ROUND(H61-G61,2)),""))</f>
        <v>84106.95</v>
      </c>
      <c r="G61" s="17">
        <f>IF(C60=$F$11,SUM($G$18:G60),IF(C61=B61,ROUND(((($F$13+1)^((D61-D60)/360))-1)*I60,2),""))</f>
        <v>845.31</v>
      </c>
      <c r="H61" s="17">
        <f>IF(C60=$F$11,SUM($H$18:H60),IF(C61=B61,IF(C61=$F$11,F61+G61,ROUND($I$17/VLOOKUP("Totales",$D$18:$K$117,8,FALSE),2)),""))</f>
        <v>84952.26</v>
      </c>
      <c r="I61" s="17">
        <f t="shared" si="3"/>
        <v>0</v>
      </c>
      <c r="J61" s="17"/>
      <c r="K61" s="25">
        <f>IF(C60=$F$11,SUM($K$18:K60),IF(C61=B61,1/((1+$F$14)^SUM($E$18:E61)),""))</f>
        <v>0.63996376623407403</v>
      </c>
    </row>
    <row r="62" spans="2:11" x14ac:dyDescent="0.25">
      <c r="B62" s="18">
        <v>45</v>
      </c>
      <c r="C62" s="19" t="str">
        <f t="shared" si="1"/>
        <v/>
      </c>
      <c r="D62" s="20" t="str">
        <f t="shared" si="2"/>
        <v>Totales</v>
      </c>
      <c r="E62" s="23" t="str">
        <f t="shared" si="0"/>
        <v/>
      </c>
      <c r="F62" s="17">
        <f>IF(C61=$F$11,SUM($F$18:F61),IF(C62=B62,IF(C62=$F$11,I61,ROUND(H62-G62,2)),""))</f>
        <v>3000000</v>
      </c>
      <c r="G62" s="17">
        <f>IF(C61=$F$11,SUM($G$18:G61),IF(C62=B62,ROUND(((($F$13+1)^((D62-D61)/360))-1)*I61,2),""))</f>
        <v>737902.45000000007</v>
      </c>
      <c r="H62" s="17">
        <f>IF(C61=$F$11,SUM($H$18:H61),IF(C62=B62,IF(C62=$F$11,F62+G62,ROUND($I$17/VLOOKUP("Totales",$D$18:$K$117,8,FALSE),2)),""))</f>
        <v>3737902.4500000016</v>
      </c>
      <c r="I62" s="17" t="str">
        <f t="shared" si="3"/>
        <v/>
      </c>
      <c r="J62" s="27"/>
      <c r="K62" s="25">
        <f>IF(C61=$F$11,SUM($K$18:K61),IF(C62=B62,1/((1+$F$14)^SUM($E$18:E62)),""))</f>
        <v>35.313922838656744</v>
      </c>
    </row>
    <row r="63" spans="2:11" x14ac:dyDescent="0.25">
      <c r="B63" s="18">
        <v>46</v>
      </c>
      <c r="C63" s="19" t="str">
        <f t="shared" si="1"/>
        <v/>
      </c>
      <c r="D63" s="20" t="str">
        <f t="shared" si="2"/>
        <v/>
      </c>
      <c r="E63" s="23" t="str">
        <f t="shared" si="0"/>
        <v/>
      </c>
      <c r="F63" s="17" t="str">
        <f>IF(C62=$F$11,SUM($F$18:F62),IF(C63=B63,IF(C63=$F$11,I62,ROUND(H63-G63,2)),""))</f>
        <v/>
      </c>
      <c r="G63" s="17" t="str">
        <f>IF(C62=$F$11,SUM($G$18:G62),IF(C63=B63,ROUND(((($F$13+1)^((D63-D62)/360))-1)*I62,2),""))</f>
        <v/>
      </c>
      <c r="H63" s="17" t="str">
        <f>IF(C62=$F$11,SUM($H$18:H62),IF(C63=B63,IF(C63=$F$11,F63+G63,ROUND($I$17/VLOOKUP("Totales",$D$18:$K$117,8,FALSE),2)),""))</f>
        <v/>
      </c>
      <c r="I63" s="17" t="str">
        <f t="shared" si="3"/>
        <v/>
      </c>
      <c r="J63" s="27"/>
      <c r="K63" s="25" t="str">
        <f>IF(C62=$F$11,SUM($K$18:K62),IF(C63=B63,1/((1+$F$14)^SUM($E$18:E63)),""))</f>
        <v/>
      </c>
    </row>
    <row r="64" spans="2:11" x14ac:dyDescent="0.25">
      <c r="B64" s="18">
        <v>47</v>
      </c>
      <c r="C64" s="19" t="str">
        <f t="shared" si="1"/>
        <v/>
      </c>
      <c r="D64" s="20" t="str">
        <f t="shared" si="2"/>
        <v/>
      </c>
      <c r="E64" s="23" t="str">
        <f>IF(C64=B64,D64-D63,"")</f>
        <v/>
      </c>
      <c r="F64" s="17" t="str">
        <f>IF(C63=$F$11,SUM($F$18:F63),IF(C64=B64,IF(C64=$F$11,I63,ROUND(H64-G64,2)),""))</f>
        <v/>
      </c>
      <c r="G64" s="17" t="str">
        <f>IF(C63=$F$11,SUM($G$18:G63),IF(C64=B64,ROUND(((($F$13+1)^((D64-D63)/360))-1)*I63,2),""))</f>
        <v/>
      </c>
      <c r="H64" s="17" t="str">
        <f>IF(C63=$F$11,SUM($H$18:H63),IF(C64=B64,IF(C64=$F$11,F64+G64,ROUND($I$17/VLOOKUP("Totales",$D$18:$K$117,8,FALSE),2)),""))</f>
        <v/>
      </c>
      <c r="I64" s="17" t="str">
        <f t="shared" si="3"/>
        <v/>
      </c>
      <c r="J64" s="28"/>
      <c r="K64" s="25" t="str">
        <f>IF(C63=$F$11,SUM($K$18:K63),IF(C64=B64,1/((1+$F$14)^SUM($E$18:E64)),""))</f>
        <v/>
      </c>
    </row>
    <row r="65" spans="1:13" x14ac:dyDescent="0.25">
      <c r="B65" s="18">
        <v>48</v>
      </c>
      <c r="C65" s="19" t="str">
        <f>IF(B65&lt;=$F$11,B65,"")</f>
        <v/>
      </c>
      <c r="D65" s="20" t="str">
        <f t="shared" si="2"/>
        <v/>
      </c>
      <c r="E65" s="23" t="str">
        <f>IF(C65=B65,D65-D64,"")</f>
        <v/>
      </c>
      <c r="F65" s="17" t="str">
        <f>IF(C64=$F$11,SUM($F$18:F64),IF(C65=B65,IF(C65=$F$11,I64,ROUND(H65-G65,2)),""))</f>
        <v/>
      </c>
      <c r="G65" s="17" t="str">
        <f>IF(C64=$F$11,SUM($G$18:G64),IF(C65=B65,ROUND(((($F$13+1)^((D65-D64)/360))-1)*I64,2),""))</f>
        <v/>
      </c>
      <c r="H65" s="17" t="str">
        <f>IF(C64=$F$11,SUM($H$18:H64),IF(C65=B65,IF(C65=$F$11,F65+G65,ROUND($I$17/VLOOKUP("Totales",$D$18:$K$117,8,FALSE),2)),""))</f>
        <v/>
      </c>
      <c r="I65" s="17" t="str">
        <f t="shared" si="3"/>
        <v/>
      </c>
      <c r="J65" s="17"/>
      <c r="K65" s="25" t="str">
        <f>IF(C64=$F$11,SUM($K$18:K64),IF(C65=B65,1/((1+$F$14)^SUM($E$18:E65)),""))</f>
        <v/>
      </c>
    </row>
    <row r="66" spans="1:13" ht="14.5" x14ac:dyDescent="0.35">
      <c r="A66"/>
      <c r="B66" s="18">
        <v>49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IF(C65=$F$11,SUM($F$18:F65),IF(C66=B66,IF(C66=$F$11,I65,ROUND(H66-G66,2)),""))</f>
        <v/>
      </c>
      <c r="G66" s="17" t="str">
        <f>IF(C65=$F$11,SUM($G$18:G65),IF(C66=B66,ROUND(((($F$13+1)^((D66-D65)/360))-1)*I65,2),""))</f>
        <v/>
      </c>
      <c r="H66" s="17" t="str">
        <f>IF(C65=$F$11,SUM($H$18:H65),IF(C66=B66,IF(C66=$F$11,F66+G66,ROUND($I$17/VLOOKUP("Totales",$D$18:$K$117,8,FALSE),2)),""))</f>
        <v/>
      </c>
      <c r="I66" s="17" t="str">
        <f t="shared" si="3"/>
        <v/>
      </c>
      <c r="J66" s="17"/>
      <c r="K66" s="25" t="str">
        <f>IF(C65=$F$11,SUM($K$18:K65),IF(C66=B66,1/((1+$F$14)^SUM($E$18:E66)),""))</f>
        <v/>
      </c>
      <c r="L66" s="17" t="s">
        <v>17</v>
      </c>
      <c r="M66" s="17"/>
    </row>
    <row r="67" spans="1:13" x14ac:dyDescent="0.25">
      <c r="B67" s="18">
        <v>50</v>
      </c>
      <c r="C67" s="19" t="str">
        <f t="shared" si="1"/>
        <v/>
      </c>
      <c r="D67" s="20" t="str">
        <f t="shared" si="2"/>
        <v/>
      </c>
      <c r="E67" s="23" t="str">
        <f>IF(C67=B67,D67-D66,"")</f>
        <v/>
      </c>
      <c r="F67" s="17" t="str">
        <f>IF(C66=$F$11,SUM($F$18:F66),IF(C67=B67,IF(C67=$F$11,I66,ROUND(H67-G67,2)),""))</f>
        <v/>
      </c>
      <c r="G67" s="17" t="str">
        <f>IF(C66=$F$11,SUM($G$18:G66),IF(C67=B67,ROUND(((($F$13+1)^((D67-D66)/360))-1)*I66,2),""))</f>
        <v/>
      </c>
      <c r="H67" s="17" t="str">
        <f>IF(C66=$F$11,SUM($H$18:H66),IF(C67=B67,IF(C67=$F$11,F67+G67,ROUND($I$17/VLOOKUP("Totales",$D$18:$K$117,8,FALSE),2)),""))</f>
        <v/>
      </c>
      <c r="I67" s="17" t="str">
        <f>IF(C67=B67,ROUND(I66-F67,2),"")</f>
        <v/>
      </c>
      <c r="J67" s="17"/>
      <c r="K67" s="25" t="str">
        <f>IF(C66=$F$11,SUM($K$18:K66),IF(C67=B67,1/((1+$F$14)^SUM($E$18:E67)),""))</f>
        <v/>
      </c>
      <c r="L67" s="17" t="s">
        <v>17</v>
      </c>
      <c r="M67" s="17"/>
    </row>
    <row r="68" spans="1:13" x14ac:dyDescent="0.25">
      <c r="B68" s="18">
        <v>51</v>
      </c>
      <c r="C68" s="19" t="str">
        <f t="shared" si="1"/>
        <v/>
      </c>
      <c r="D68" s="20" t="str">
        <f t="shared" si="2"/>
        <v/>
      </c>
      <c r="E68" s="23" t="str">
        <f t="shared" ref="E68:E117" si="4">IF(C68=B68,D68-D67,"")</f>
        <v/>
      </c>
      <c r="F68" s="17" t="str">
        <f>IF(C67=$F$11,SUM($F$18:F67),IF(C68=B68,IF(C68=$F$11,I67,ROUND(H68-G68,2)),""))</f>
        <v/>
      </c>
      <c r="G68" s="17" t="str">
        <f>IF(C67=$F$11,SUM($G$18:G67),IF(C68=B68,ROUND(((($F$13+1)^((D68-D67)/360))-1)*I67,2),""))</f>
        <v/>
      </c>
      <c r="H68" s="17" t="str">
        <f>IF(C67=$F$11,SUM($H$18:H67),IF(C68=B68,IF(C68=$F$11,F68+G68,ROUND($I$17/VLOOKUP("Totales",$D$18:$K$117,8,FALSE),2)),""))</f>
        <v/>
      </c>
      <c r="I68" s="17" t="str">
        <f t="shared" ref="I68:I117" si="5">IF(C68=B68,ROUND(I67-F68,2),"")</f>
        <v/>
      </c>
      <c r="J68" s="17"/>
      <c r="K68" s="25" t="str">
        <f>IF(C67=$F$11,SUM($K$18:K67),IF(C68=B68,1/((1+$F$14)^SUM($E$18:E68)),""))</f>
        <v/>
      </c>
      <c r="L68" s="17" t="s">
        <v>17</v>
      </c>
      <c r="M68" s="17"/>
    </row>
    <row r="69" spans="1:13" x14ac:dyDescent="0.25">
      <c r="B69" s="18">
        <v>52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IF(C68=$F$11,SUM($F$18:F68),IF(C69=B69,IF(C69=$F$11,I68,ROUND(H69-G69,2)),""))</f>
        <v/>
      </c>
      <c r="G69" s="17" t="str">
        <f>IF(C68=$F$11,SUM($G$18:G68),IF(C69=B69,ROUND(((($F$13+1)^((D69-D68)/360))-1)*I68,2),""))</f>
        <v/>
      </c>
      <c r="H69" s="17" t="str">
        <f>IF(C68=$F$11,SUM($H$18:H68),IF(C69=B69,IF(C69=$F$11,F69+G69,ROUND($I$17/VLOOKUP("Totales",$D$18:$K$117,8,FALSE),2)),""))</f>
        <v/>
      </c>
      <c r="I69" s="17" t="str">
        <f t="shared" si="5"/>
        <v/>
      </c>
      <c r="J69" s="17"/>
      <c r="K69" s="25" t="str">
        <f>IF(C68=$F$11,SUM($K$18:K68),IF(C69=B69,1/((1+$F$14)^SUM($E$18:E69)),""))</f>
        <v/>
      </c>
    </row>
    <row r="70" spans="1:13" x14ac:dyDescent="0.25">
      <c r="B70" s="18">
        <v>53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IF(C69=$F$11,SUM($F$18:F69),IF(C70=B70,IF(C70=$F$11,I69,ROUND(H70-G70,2)),""))</f>
        <v/>
      </c>
      <c r="G70" s="17" t="str">
        <f>IF(C69=$F$11,SUM($G$18:G69),IF(C70=B70,ROUND(((($F$13+1)^((D70-D69)/360))-1)*I69,2),""))</f>
        <v/>
      </c>
      <c r="H70" s="17" t="str">
        <f>IF(C69=$F$11,SUM($H$18:H69),IF(C70=B70,IF(C70=$F$11,F70+G70,ROUND($I$17/VLOOKUP("Totales",$D$18:$K$117,8,FALSE),2)),""))</f>
        <v/>
      </c>
      <c r="I70" s="17" t="str">
        <f t="shared" si="5"/>
        <v/>
      </c>
      <c r="J70" s="17"/>
      <c r="K70" s="25" t="str">
        <f>IF(C69=$F$11,SUM($K$18:K69),IF(C70=B70,1/((1+$F$14)^SUM($E$18:E70)),""))</f>
        <v/>
      </c>
    </row>
    <row r="71" spans="1:13" x14ac:dyDescent="0.25">
      <c r="B71" s="18">
        <v>54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IF(C70=$F$11,SUM($F$18:F70),IF(C71=B71,IF(C71=$F$11,I70,ROUND(H71-G71,2)),""))</f>
        <v/>
      </c>
      <c r="G71" s="17" t="str">
        <f>IF(C70=$F$11,SUM($G$18:G70),IF(C71=B71,ROUND(((($F$13+1)^((D71-D70)/360))-1)*I70,2),""))</f>
        <v/>
      </c>
      <c r="H71" s="17" t="str">
        <f>IF(C70=$F$11,SUM($H$18:H70),IF(C71=B71,IF(C71=$F$11,F71+G71,ROUND($I$17/VLOOKUP("Totales",$D$18:$K$117,8,FALSE),2)),""))</f>
        <v/>
      </c>
      <c r="I71" s="17" t="str">
        <f t="shared" si="5"/>
        <v/>
      </c>
      <c r="J71" s="17"/>
      <c r="K71" s="25" t="str">
        <f>IF(C70=$F$11,SUM($K$18:K70),IF(C71=B71,1/((1+$F$14)^SUM($E$18:E71)),""))</f>
        <v/>
      </c>
    </row>
    <row r="72" spans="1:13" x14ac:dyDescent="0.25">
      <c r="B72" s="18">
        <v>55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IF(C71=$F$11,SUM($F$18:F71),IF(C72=B72,IF(C72=$F$11,I71,ROUND(H72-G72,2)),""))</f>
        <v/>
      </c>
      <c r="G72" s="17" t="str">
        <f>IF(C71=$F$11,SUM($G$18:G71),IF(C72=B72,ROUND(((($F$13+1)^((D72-D71)/360))-1)*I71,2),""))</f>
        <v/>
      </c>
      <c r="H72" s="17" t="str">
        <f>IF(C71=$F$11,SUM($H$18:H71),IF(C72=B72,IF(C72=$F$11,F72+G72,ROUND($I$17/VLOOKUP("Totales",$D$18:$K$117,8,FALSE),2)),""))</f>
        <v/>
      </c>
      <c r="I72" s="17" t="str">
        <f t="shared" si="5"/>
        <v/>
      </c>
      <c r="J72" s="17"/>
      <c r="K72" s="25" t="str">
        <f>IF(C71=$F$11,SUM($K$18:K71),IF(C72=B72,1/((1+$F$14)^SUM($E$18:E72)),""))</f>
        <v/>
      </c>
    </row>
    <row r="73" spans="1:13" x14ac:dyDescent="0.25">
      <c r="B73" s="18">
        <v>56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IF(C72=$F$11,SUM($F$18:F72),IF(C73=B73,IF(C73=$F$11,I72,ROUND(H73-G73,2)),""))</f>
        <v/>
      </c>
      <c r="G73" s="17" t="str">
        <f>IF(C72=$F$11,SUM($G$18:G72),IF(C73=B73,ROUND(((($F$13+1)^((D73-D72)/360))-1)*I72,2),""))</f>
        <v/>
      </c>
      <c r="H73" s="17" t="str">
        <f>IF(C72=$F$11,SUM($H$18:H72),IF(C73=B73,IF(C73=$F$11,F73+G73,ROUND($I$17/VLOOKUP("Totales",$D$18:$K$117,8,FALSE),2)),""))</f>
        <v/>
      </c>
      <c r="I73" s="17" t="str">
        <f t="shared" si="5"/>
        <v/>
      </c>
      <c r="J73" s="17"/>
      <c r="K73" s="25" t="str">
        <f>IF(C72=$F$11,SUM($K$18:K72),IF(C73=B73,1/((1+$F$14)^SUM($E$18:E73)),""))</f>
        <v/>
      </c>
    </row>
    <row r="74" spans="1:13" x14ac:dyDescent="0.25">
      <c r="B74" s="18">
        <v>57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IF(C73=$F$11,SUM($F$18:F73),IF(C74=B74,IF(C74=$F$11,I73,ROUND(H74-G74,2)),""))</f>
        <v/>
      </c>
      <c r="G74" s="17" t="str">
        <f>IF(C73=$F$11,SUM($G$18:G73),IF(C74=B74,ROUND(((($F$13+1)^((D74-D73)/360))-1)*I73,2),""))</f>
        <v/>
      </c>
      <c r="H74" s="17" t="str">
        <f>IF(C73=$F$11,SUM($H$18:H73),IF(C74=B74,IF(C74=$F$11,F74+G74,ROUND($I$17/VLOOKUP("Totales",$D$18:$K$117,8,FALSE),2)),""))</f>
        <v/>
      </c>
      <c r="I74" s="17" t="str">
        <f t="shared" si="5"/>
        <v/>
      </c>
      <c r="J74" s="17"/>
      <c r="K74" s="25" t="str">
        <f>IF(C73=$F$11,SUM($K$18:K73),IF(C74=B74,1/((1+$F$14)^SUM($E$18:E74)),""))</f>
        <v/>
      </c>
    </row>
    <row r="75" spans="1:13" x14ac:dyDescent="0.25">
      <c r="B75" s="18">
        <v>58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IF(C74=$F$11,SUM($F$18:F74),IF(C75=B75,IF(C75=$F$11,I74,ROUND(H75-G75,2)),""))</f>
        <v/>
      </c>
      <c r="G75" s="17" t="str">
        <f>IF(C74=$F$11,SUM($G$18:G74),IF(C75=B75,ROUND(((($F$13+1)^((D75-D74)/360))-1)*I74,2),""))</f>
        <v/>
      </c>
      <c r="H75" s="17" t="str">
        <f>IF(C74=$F$11,SUM($H$18:H74),IF(C75=B75,IF(C75=$F$11,F75+G75,ROUND($I$17/VLOOKUP("Totales",$D$18:$K$117,8,FALSE),2)),""))</f>
        <v/>
      </c>
      <c r="I75" s="17" t="str">
        <f t="shared" si="5"/>
        <v/>
      </c>
      <c r="J75" s="17"/>
      <c r="K75" s="25" t="str">
        <f>IF(C74=$F$11,SUM($K$18:K74),IF(C75=B75,1/((1+$F$14)^SUM($E$18:E75)),""))</f>
        <v/>
      </c>
    </row>
    <row r="76" spans="1:13" x14ac:dyDescent="0.25">
      <c r="B76" s="18">
        <v>59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IF(C75=$F$11,SUM($F$18:F75),IF(C76=B76,IF(C76=$F$11,I75,ROUND(H76-G76,2)),""))</f>
        <v/>
      </c>
      <c r="G76" s="17" t="str">
        <f>IF(C75=$F$11,SUM($G$18:G75),IF(C76=B76,ROUND(((($F$13+1)^((D76-D75)/360))-1)*I75,2),""))</f>
        <v/>
      </c>
      <c r="H76" s="17" t="str">
        <f>IF(C75=$F$11,SUM($H$18:H75),IF(C76=B76,IF(C76=$F$11,F76+G76,ROUND($I$17/VLOOKUP("Totales",$D$18:$K$117,8,FALSE),2)),""))</f>
        <v/>
      </c>
      <c r="I76" s="17" t="str">
        <f t="shared" si="5"/>
        <v/>
      </c>
      <c r="J76" s="17"/>
      <c r="K76" s="25" t="str">
        <f>IF(C75=$F$11,SUM($K$18:K75),IF(C76=B76,1/((1+$F$14)^SUM($E$18:E76)),""))</f>
        <v/>
      </c>
    </row>
    <row r="77" spans="1:13" x14ac:dyDescent="0.25">
      <c r="B77" s="18">
        <v>60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IF(C76=$F$11,SUM($F$18:F76),IF(C77=B77,IF(C77=$F$11,I76,ROUND(H77-G77,2)),""))</f>
        <v/>
      </c>
      <c r="G77" s="17" t="str">
        <f>IF(C76=$F$11,SUM($G$18:G76),IF(C77=B77,ROUND(((($F$13+1)^((D77-D76)/360))-1)*I76,2),""))</f>
        <v/>
      </c>
      <c r="H77" s="17" t="str">
        <f>IF(C76=$F$11,SUM($H$18:H76),IF(C77=B77,IF(C77=$F$11,F77+G77,ROUND($I$17/VLOOKUP("Totales",$D$18:$K$117,8,FALSE),2)),""))</f>
        <v/>
      </c>
      <c r="I77" s="17" t="str">
        <f t="shared" si="5"/>
        <v/>
      </c>
      <c r="J77" s="17"/>
      <c r="K77" s="25" t="str">
        <f>IF(C76=$F$11,SUM($K$18:K76),IF(C77=B77,1/((1+$F$14)^SUM($E$18:E77)),""))</f>
        <v/>
      </c>
    </row>
    <row r="78" spans="1:13" x14ac:dyDescent="0.25">
      <c r="B78" s="18">
        <v>61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IF(C77=$F$11,SUM($F$18:F77),IF(C78=B78,IF(C78=$F$11,I77,ROUND(H78-G78,2)),""))</f>
        <v/>
      </c>
      <c r="G78" s="17" t="str">
        <f>IF(C77=$F$11,SUM($G$18:G77),IF(C78=B78,ROUND(((($F$13+1)^((D78-D77)/360))-1)*I77,2),""))</f>
        <v/>
      </c>
      <c r="H78" s="17" t="str">
        <f>IF(C77=$F$11,SUM($H$18:H77),IF(C78=B78,IF(C78=$F$11,F78+G78,ROUND($I$17/VLOOKUP("Totales",$D$18:$K$117,8,FALSE),2)),""))</f>
        <v/>
      </c>
      <c r="I78" s="17" t="str">
        <f t="shared" si="5"/>
        <v/>
      </c>
      <c r="J78" s="17"/>
      <c r="K78" s="25" t="str">
        <f>IF(C77=$F$11,SUM($K$18:K77),IF(C78=B78,1/((1+$F$14)^SUM($E$18:E78)),""))</f>
        <v/>
      </c>
    </row>
    <row r="79" spans="1:13" x14ac:dyDescent="0.25">
      <c r="B79" s="18">
        <v>62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IF(C78=$F$11,SUM($F$18:F78),IF(C79=B79,IF(C79=$F$11,I78,ROUND(H79-G79,2)),""))</f>
        <v/>
      </c>
      <c r="G79" s="17" t="str">
        <f>IF(C78=$F$11,SUM($G$18:G78),IF(C79=B79,ROUND(((($F$13+1)^((D79-D78)/360))-1)*I78,2),""))</f>
        <v/>
      </c>
      <c r="H79" s="17" t="str">
        <f>IF(C78=$F$11,SUM($H$18:H78),IF(C79=B79,IF(C79=$F$11,F79+G79,ROUND($I$17/VLOOKUP("Totales",$D$18:$K$117,8,FALSE),2)),""))</f>
        <v/>
      </c>
      <c r="I79" s="17" t="str">
        <f t="shared" si="5"/>
        <v/>
      </c>
      <c r="J79" s="17"/>
      <c r="K79" s="25" t="str">
        <f>IF(C78=$F$11,SUM($K$18:K78),IF(C79=B79,1/((1+$F$14)^SUM($E$18:E79)),""))</f>
        <v/>
      </c>
    </row>
    <row r="80" spans="1:13" x14ac:dyDescent="0.25">
      <c r="B80" s="18">
        <v>63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IF(C79=$F$11,SUM($F$18:F79),IF(C80=B80,IF(C80=$F$11,I79,ROUND(H80-G80,2)),""))</f>
        <v/>
      </c>
      <c r="G80" s="17" t="str">
        <f>IF(C79=$F$11,SUM($G$18:G79),IF(C80=B80,ROUND(((($F$13+1)^((D80-D79)/360))-1)*I79,2),""))</f>
        <v/>
      </c>
      <c r="H80" s="17" t="str">
        <f>IF(C79=$F$11,SUM($H$18:H79),IF(C80=B80,IF(C80=$F$11,F80+G80,ROUND($I$17/VLOOKUP("Totales",$D$18:$K$117,8,FALSE),2)),""))</f>
        <v/>
      </c>
      <c r="I80" s="17" t="str">
        <f t="shared" si="5"/>
        <v/>
      </c>
      <c r="J80" s="17"/>
      <c r="K80" s="25" t="str">
        <f>IF(C79=$F$11,SUM($K$18:K79),IF(C80=B80,1/((1+$F$14)^SUM($E$18:E80)),""))</f>
        <v/>
      </c>
    </row>
    <row r="81" spans="2:11" x14ac:dyDescent="0.25">
      <c r="B81" s="18">
        <v>64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IF(C80=$F$11,SUM($F$18:F80),IF(C81=B81,IF(C81=$F$11,I80,ROUND(H81-G81,2)),""))</f>
        <v/>
      </c>
      <c r="G81" s="17" t="str">
        <f>IF(C80=$F$11,SUM($G$18:G80),IF(C81=B81,ROUND(((($F$13+1)^((D81-D80)/360))-1)*I80,2),""))</f>
        <v/>
      </c>
      <c r="H81" s="17" t="str">
        <f>IF(C80=$F$11,SUM($H$18:H80),IF(C81=B81,IF(C81=$F$11,F81+G81,ROUND($I$17/VLOOKUP("Totales",$D$18:$K$117,8,FALSE),2)),""))</f>
        <v/>
      </c>
      <c r="I81" s="17" t="str">
        <f t="shared" si="5"/>
        <v/>
      </c>
      <c r="J81" s="17"/>
      <c r="K81" s="25" t="str">
        <f>IF(C80=$F$11,SUM($K$18:K80),IF(C81=B81,1/((1+$F$14)^SUM($E$18:E81)),""))</f>
        <v/>
      </c>
    </row>
    <row r="82" spans="2:11" x14ac:dyDescent="0.25">
      <c r="B82" s="18">
        <v>65</v>
      </c>
      <c r="C82" s="19" t="str">
        <f t="shared" si="1"/>
        <v/>
      </c>
      <c r="D82" s="20" t="str">
        <f t="shared" si="2"/>
        <v/>
      </c>
      <c r="E82" s="23" t="str">
        <f t="shared" si="4"/>
        <v/>
      </c>
      <c r="F82" s="17" t="str">
        <f>IF(C81=$F$11,SUM($F$18:F81),IF(C82=B82,IF(C82=$F$11,I81,ROUND(H82-G82,2)),""))</f>
        <v/>
      </c>
      <c r="G82" s="17" t="str">
        <f>IF(C81=$F$11,SUM($G$18:G81),IF(C82=B82,ROUND(((($F$13+1)^((D82-D81)/360))-1)*I81,2),""))</f>
        <v/>
      </c>
      <c r="H82" s="17" t="str">
        <f>IF(C81=$F$11,SUM($H$18:H81),IF(C82=B82,IF(C82=$F$11,F82+G82,ROUND($I$17/VLOOKUP("Totales",$D$18:$K$117,8,FALSE),2)),""))</f>
        <v/>
      </c>
      <c r="I82" s="17" t="str">
        <f t="shared" si="5"/>
        <v/>
      </c>
      <c r="J82" s="17"/>
      <c r="K82" s="25" t="str">
        <f>IF(C81=$F$11,SUM($K$18:K81),IF(C82=B82,1/((1+$F$14)^SUM($E$18:E82)),""))</f>
        <v/>
      </c>
    </row>
    <row r="83" spans="2:11" x14ac:dyDescent="0.25">
      <c r="B83" s="18">
        <v>66</v>
      </c>
      <c r="C83" s="19" t="str">
        <f t="shared" ref="C83:C117" si="6">IF(B83&lt;=$F$11,B83,"")</f>
        <v/>
      </c>
      <c r="D83" s="20" t="str">
        <f t="shared" ref="D83:D116" si="7">IF(C82=$F$11,"Totales",IF(B83&lt;=$F$11,DATE(IF(MONTH(D82)=12,YEAR(D82)+1,YEAR(D82)),IF(MONTH(D82)=12,1,IF(DAY(D82)&lt;10,MONTH(D82),MONTH(D82)+1)),20),""))</f>
        <v/>
      </c>
      <c r="E83" s="23" t="str">
        <f t="shared" si="4"/>
        <v/>
      </c>
      <c r="F83" s="17" t="str">
        <f>IF(C82=$F$11,SUM($F$18:F82),IF(C83=B83,IF(C83=$F$11,I82,ROUND(H83-G83,2)),""))</f>
        <v/>
      </c>
      <c r="G83" s="17" t="str">
        <f>IF(C82=$F$11,SUM($G$18:G82),IF(C83=B83,ROUND(((($F$13+1)^((D83-D82)/360))-1)*I82,2),""))</f>
        <v/>
      </c>
      <c r="H83" s="17" t="str">
        <f>IF(C82=$F$11,SUM($H$18:H82),IF(C83=B83,IF(C83=$F$11,F83+G83,ROUND($I$17/VLOOKUP("Totales",$D$18:$K$117,8,FALSE),2)),""))</f>
        <v/>
      </c>
      <c r="I83" s="17" t="str">
        <f t="shared" si="5"/>
        <v/>
      </c>
      <c r="J83" s="17"/>
      <c r="K83" s="25" t="str">
        <f>IF(C82=$F$11,SUM($K$18:K82),IF(C83=B83,1/((1+$F$14)^SUM($E$18:E83)),""))</f>
        <v/>
      </c>
    </row>
    <row r="84" spans="2:11" x14ac:dyDescent="0.25">
      <c r="B84" s="18">
        <v>67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IF(C83=$F$11,SUM($F$18:F83),IF(C84=B84,IF(C84=$F$11,I83,ROUND(H84-G84,2)),""))</f>
        <v/>
      </c>
      <c r="G84" s="17" t="str">
        <f>IF(C83=$F$11,SUM($G$18:G83),IF(C84=B84,ROUND(((($F$13+1)^((D84-D83)/360))-1)*I83,2),""))</f>
        <v/>
      </c>
      <c r="H84" s="17" t="str">
        <f>IF(C83=$F$11,SUM($H$18:H83),IF(C84=B84,IF(C84=$F$11,F84+G84,ROUND($I$17/VLOOKUP("Totales",$D$18:$K$117,8,FALSE),2)),""))</f>
        <v/>
      </c>
      <c r="I84" s="17" t="str">
        <f t="shared" si="5"/>
        <v/>
      </c>
      <c r="J84" s="17"/>
      <c r="K84" s="25" t="str">
        <f>IF(C83=$F$11,SUM($K$18:K83),IF(C84=B84,1/((1+$F$14)^SUM($E$18:E84)),""))</f>
        <v/>
      </c>
    </row>
    <row r="85" spans="2:11" x14ac:dyDescent="0.25">
      <c r="B85" s="18">
        <v>68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IF(C84=$F$11,SUM($F$18:F84),IF(C85=B85,IF(C85=$F$11,I84,ROUND(H85-G85,2)),""))</f>
        <v/>
      </c>
      <c r="G85" s="17" t="str">
        <f>IF(C84=$F$11,SUM($G$18:G84),IF(C85=B85,ROUND(((($F$13+1)^((D85-D84)/360))-1)*I84,2),""))</f>
        <v/>
      </c>
      <c r="H85" s="17" t="str">
        <f>IF(C84=$F$11,SUM($H$18:H84),IF(C85=B85,IF(C85=$F$11,F85+G85,ROUND($I$17/VLOOKUP("Totales",$D$18:$K$117,8,FALSE),2)),""))</f>
        <v/>
      </c>
      <c r="I85" s="17" t="str">
        <f t="shared" si="5"/>
        <v/>
      </c>
      <c r="J85" s="17"/>
      <c r="K85" s="25" t="str">
        <f>IF(C84=$F$11,SUM($K$18:K84),IF(C85=B85,1/((1+$F$14)^SUM($E$18:E85)),""))</f>
        <v/>
      </c>
    </row>
    <row r="86" spans="2:11" x14ac:dyDescent="0.25">
      <c r="B86" s="18">
        <v>69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IF(C85=$F$11,SUM($F$18:F85),IF(C86=B86,IF(C86=$F$11,I85,ROUND(H86-G86,2)),""))</f>
        <v/>
      </c>
      <c r="G86" s="17" t="str">
        <f>IF(C85=$F$11,SUM($G$18:G85),IF(C86=B86,ROUND(((($F$13+1)^((D86-D85)/360))-1)*I85,2),""))</f>
        <v/>
      </c>
      <c r="H86" s="17" t="str">
        <f>IF(C85=$F$11,SUM($H$18:H85),IF(C86=B86,IF(C86=$F$11,F86+G86,ROUND($I$17/VLOOKUP("Totales",$D$18:$K$117,8,FALSE),2)),""))</f>
        <v/>
      </c>
      <c r="I86" s="17" t="str">
        <f t="shared" si="5"/>
        <v/>
      </c>
      <c r="J86" s="17"/>
      <c r="K86" s="25" t="str">
        <f>IF(C85=$F$11,SUM($K$18:K85),IF(C86=B86,1/((1+$F$14)^SUM($E$18:E86)),""))</f>
        <v/>
      </c>
    </row>
    <row r="87" spans="2:11" x14ac:dyDescent="0.25">
      <c r="B87" s="18">
        <v>70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IF(C86=$F$11,SUM($F$18:F86),IF(C87=B87,IF(C87=$F$11,I86,ROUND(H87-G87,2)),""))</f>
        <v/>
      </c>
      <c r="G87" s="17" t="str">
        <f>IF(C86=$F$11,SUM($G$18:G86),IF(C87=B87,ROUND(((($F$13+1)^((D87-D86)/360))-1)*I86,2),""))</f>
        <v/>
      </c>
      <c r="H87" s="17" t="str">
        <f>IF(C86=$F$11,SUM($H$18:H86),IF(C87=B87,IF(C87=$F$11,F87+G87,ROUND($I$17/VLOOKUP("Totales",$D$18:$K$117,8,FALSE),2)),""))</f>
        <v/>
      </c>
      <c r="I87" s="17" t="str">
        <f t="shared" si="5"/>
        <v/>
      </c>
      <c r="J87" s="17"/>
      <c r="K87" s="25" t="str">
        <f>IF(C86=$F$11,SUM($K$18:K86),IF(C87=B87,1/((1+$F$14)^SUM($E$18:E87)),""))</f>
        <v/>
      </c>
    </row>
    <row r="88" spans="2:11" x14ac:dyDescent="0.25">
      <c r="B88" s="18">
        <v>71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IF(C87=$F$11,SUM($F$18:F87),IF(C88=B88,IF(C88=$F$11,I87,ROUND(H88-G88,2)),""))</f>
        <v/>
      </c>
      <c r="G88" s="17" t="str">
        <f>IF(C87=$F$11,SUM($G$18:G87),IF(C88=B88,ROUND(((($F$13+1)^((D88-D87)/360))-1)*I87,2),""))</f>
        <v/>
      </c>
      <c r="H88" s="17" t="str">
        <f>IF(C87=$F$11,SUM($H$18:H87),IF(C88=B88,IF(C88=$F$11,F88+G88,ROUND($I$17/VLOOKUP("Totales",$D$18:$K$117,8,FALSE),2)),""))</f>
        <v/>
      </c>
      <c r="I88" s="17" t="str">
        <f t="shared" si="5"/>
        <v/>
      </c>
      <c r="J88" s="17"/>
      <c r="K88" s="25" t="str">
        <f>IF(C87=$F$11,SUM($K$18:K87),IF(C88=B88,1/((1+$F$14)^SUM($E$18:E88)),""))</f>
        <v/>
      </c>
    </row>
    <row r="89" spans="2:11" x14ac:dyDescent="0.25">
      <c r="B89" s="18">
        <v>72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IF(C88=$F$11,SUM($F$18:F88),IF(C89=B89,IF(C89=$F$11,I88,ROUND(H89-G89,2)),""))</f>
        <v/>
      </c>
      <c r="G89" s="17" t="str">
        <f>IF(C88=$F$11,SUM($G$18:G88),IF(C89=B89,ROUND(((($F$13+1)^((D89-D88)/360))-1)*I88,2),""))</f>
        <v/>
      </c>
      <c r="H89" s="17" t="str">
        <f>IF(C88=$F$11,SUM($H$18:H88),IF(C89=B89,IF(C89=$F$11,F89+G89,ROUND($I$17/VLOOKUP("Totales",$D$18:$K$117,8,FALSE),2)),""))</f>
        <v/>
      </c>
      <c r="I89" s="17" t="str">
        <f t="shared" si="5"/>
        <v/>
      </c>
      <c r="J89" s="17"/>
      <c r="K89" s="25" t="str">
        <f>IF(C88=$F$11,SUM($K$18:K88),IF(C89=B89,1/((1+$F$14)^SUM($E$18:E89)),""))</f>
        <v/>
      </c>
    </row>
    <row r="90" spans="2:11" x14ac:dyDescent="0.25">
      <c r="B90" s="18">
        <v>73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IF(C89=$F$11,SUM($F$18:F89),IF(C90=B90,IF(C90=$F$11,I89,ROUND(H90-G90,2)),""))</f>
        <v/>
      </c>
      <c r="G90" s="17" t="str">
        <f>IF(C89=$F$11,SUM($G$18:G89),IF(C90=B90,ROUND(((($F$13+1)^((D90-D89)/360))-1)*I89,2),""))</f>
        <v/>
      </c>
      <c r="H90" s="17" t="str">
        <f>IF(C89=$F$11,SUM($H$18:H89),IF(C90=B90,IF(C90=$F$11,F90+G90,ROUND($I$17/VLOOKUP("Totales",$D$18:$K$117,8,FALSE),2)),""))</f>
        <v/>
      </c>
      <c r="I90" s="17" t="str">
        <f t="shared" si="5"/>
        <v/>
      </c>
      <c r="J90" s="17"/>
      <c r="K90" s="25" t="str">
        <f>IF(C89=$F$11,SUM($K$18:K89),IF(C90=B90,1/((1+$F$14)^SUM($E$18:E90)),""))</f>
        <v/>
      </c>
    </row>
    <row r="91" spans="2:11" x14ac:dyDescent="0.25">
      <c r="B91" s="18">
        <v>74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IF(C90=$F$11,SUM($F$18:F90),IF(C91=B91,IF(C91=$F$11,I90,ROUND(H91-G91,2)),""))</f>
        <v/>
      </c>
      <c r="G91" s="17" t="str">
        <f>IF(C90=$F$11,SUM($G$18:G90),IF(C91=B91,ROUND(((($F$13+1)^((D91-D90)/360))-1)*I90,2),""))</f>
        <v/>
      </c>
      <c r="H91" s="17" t="str">
        <f>IF(C90=$F$11,SUM($H$18:H90),IF(C91=B91,IF(C91=$F$11,F91+G91,ROUND($I$17/VLOOKUP("Totales",$D$18:$K$117,8,FALSE),2)),""))</f>
        <v/>
      </c>
      <c r="I91" s="17" t="str">
        <f t="shared" si="5"/>
        <v/>
      </c>
      <c r="J91" s="17"/>
      <c r="K91" s="25" t="str">
        <f>IF(C90=$F$11,SUM($K$18:K90),IF(C91=B91,1/((1+$F$14)^SUM($E$18:E91)),""))</f>
        <v/>
      </c>
    </row>
    <row r="92" spans="2:11" x14ac:dyDescent="0.25">
      <c r="B92" s="18">
        <v>75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IF(C91=$F$11,SUM($F$18:F91),IF(C92=B92,IF(C92=$F$11,I91,ROUND(H92-G92,2)),""))</f>
        <v/>
      </c>
      <c r="G92" s="17" t="str">
        <f>IF(C91=$F$11,SUM($G$18:G91),IF(C92=B92,ROUND(((($F$13+1)^((D92-D91)/360))-1)*I91,2),""))</f>
        <v/>
      </c>
      <c r="H92" s="17" t="str">
        <f>IF(C91=$F$11,SUM($H$18:H91),IF(C92=B92,IF(C92=$F$11,F92+G92,ROUND($I$17/VLOOKUP("Totales",$D$18:$K$117,8,FALSE),2)),""))</f>
        <v/>
      </c>
      <c r="I92" s="17" t="str">
        <f t="shared" si="5"/>
        <v/>
      </c>
      <c r="J92" s="17"/>
      <c r="K92" s="25" t="str">
        <f>IF(C91=$F$11,SUM($K$18:K91),IF(C92=B92,1/((1+$F$14)^SUM($E$18:E92)),""))</f>
        <v/>
      </c>
    </row>
    <row r="93" spans="2:11" x14ac:dyDescent="0.25">
      <c r="B93" s="18">
        <v>76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IF(C92=$F$11,SUM($F$18:F92),IF(C93=B93,IF(C93=$F$11,I92,ROUND(H93-G93,2)),""))</f>
        <v/>
      </c>
      <c r="G93" s="17" t="str">
        <f>IF(C92=$F$11,SUM($G$18:G92),IF(C93=B93,ROUND(((($F$13+1)^((D93-D92)/360))-1)*I92,2),""))</f>
        <v/>
      </c>
      <c r="H93" s="17" t="str">
        <f>IF(C92=$F$11,SUM($H$18:H92),IF(C93=B93,IF(C93=$F$11,F93+G93,ROUND($I$17/VLOOKUP("Totales",$D$18:$K$117,8,FALSE),2)),""))</f>
        <v/>
      </c>
      <c r="I93" s="17" t="str">
        <f t="shared" si="5"/>
        <v/>
      </c>
      <c r="J93" s="17"/>
      <c r="K93" s="25" t="str">
        <f>IF(C92=$F$11,SUM($K$18:K92),IF(C93=B93,1/((1+$F$14)^SUM($E$18:E93)),""))</f>
        <v/>
      </c>
    </row>
    <row r="94" spans="2:11" x14ac:dyDescent="0.25">
      <c r="B94" s="18">
        <v>77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IF(C93=$F$11,SUM($F$18:F93),IF(C94=B94,IF(C94=$F$11,I93,ROUND(H94-G94,2)),""))</f>
        <v/>
      </c>
      <c r="G94" s="17" t="str">
        <f>IF(C93=$F$11,SUM($G$18:G93),IF(C94=B94,ROUND(((($F$13+1)^((D94-D93)/360))-1)*I93,2),""))</f>
        <v/>
      </c>
      <c r="H94" s="17" t="str">
        <f>IF(C93=$F$11,SUM($H$18:H93),IF(C94=B94,IF(C94=$F$11,F94+G94,ROUND($I$17/VLOOKUP("Totales",$D$18:$K$117,8,FALSE),2)),""))</f>
        <v/>
      </c>
      <c r="I94" s="17" t="str">
        <f t="shared" si="5"/>
        <v/>
      </c>
      <c r="J94" s="17"/>
      <c r="K94" s="25" t="str">
        <f>IF(C93=$F$11,SUM($K$18:K93),IF(C94=B94,1/((1+$F$14)^SUM($E$18:E94)),""))</f>
        <v/>
      </c>
    </row>
    <row r="95" spans="2:11" x14ac:dyDescent="0.25">
      <c r="B95" s="18">
        <v>78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IF(C94=$F$11,SUM($F$18:F94),IF(C95=B95,IF(C95=$F$11,I94,ROUND(H95-G95,2)),""))</f>
        <v/>
      </c>
      <c r="G95" s="17" t="str">
        <f>IF(C94=$F$11,SUM($G$18:G94),IF(C95=B95,ROUND(((($F$13+1)^((D95-D94)/360))-1)*I94,2),""))</f>
        <v/>
      </c>
      <c r="H95" s="17" t="str">
        <f>IF(C94=$F$11,SUM($H$18:H94),IF(C95=B95,IF(C95=$F$11,F95+G95,ROUND($I$17/VLOOKUP("Totales",$D$18:$K$117,8,FALSE),2)),""))</f>
        <v/>
      </c>
      <c r="I95" s="17" t="str">
        <f t="shared" si="5"/>
        <v/>
      </c>
      <c r="J95" s="17"/>
      <c r="K95" s="25" t="str">
        <f>IF(C94=$F$11,SUM($K$18:K94),IF(C95=B95,1/((1+$F$14)^SUM($E$18:E95)),""))</f>
        <v/>
      </c>
    </row>
    <row r="96" spans="2:11" x14ac:dyDescent="0.25">
      <c r="B96" s="18">
        <v>79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IF(C95=$F$11,SUM($F$18:F95),IF(C96=B96,IF(C96=$F$11,I95,ROUND(H96-G96,2)),""))</f>
        <v/>
      </c>
      <c r="G96" s="17" t="str">
        <f>IF(C95=$F$11,SUM($G$18:G95),IF(C96=B96,ROUND(((($F$13+1)^((D96-D95)/360))-1)*I95,2),""))</f>
        <v/>
      </c>
      <c r="H96" s="17" t="str">
        <f>IF(C95=$F$11,SUM($H$18:H95),IF(C96=B96,IF(C96=$F$11,F96+G96,ROUND($I$17/VLOOKUP("Totales",$D$18:$K$117,8,FALSE),2)),""))</f>
        <v/>
      </c>
      <c r="I96" s="17" t="str">
        <f t="shared" si="5"/>
        <v/>
      </c>
      <c r="J96" s="17"/>
      <c r="K96" s="25" t="str">
        <f>IF(C95=$F$11,SUM($K$18:K95),IF(C96=B96,1/((1+$F$14)^SUM($E$18:E96)),""))</f>
        <v/>
      </c>
    </row>
    <row r="97" spans="2:11" x14ac:dyDescent="0.25">
      <c r="B97" s="18">
        <v>80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IF(C96=$F$11,SUM($F$18:F96),IF(C97=B97,IF(C97=$F$11,I96,ROUND(H97-G97,2)),""))</f>
        <v/>
      </c>
      <c r="G97" s="17" t="str">
        <f>IF(C96=$F$11,SUM($G$18:G96),IF(C97=B97,ROUND(((($F$13+1)^((D97-D96)/360))-1)*I96,2),""))</f>
        <v/>
      </c>
      <c r="H97" s="17" t="str">
        <f>IF(C96=$F$11,SUM($H$18:H96),IF(C97=B97,IF(C97=$F$11,F97+G97,ROUND($I$17/VLOOKUP("Totales",$D$18:$K$117,8,FALSE),2)),""))</f>
        <v/>
      </c>
      <c r="I97" s="17" t="str">
        <f t="shared" si="5"/>
        <v/>
      </c>
      <c r="J97" s="17"/>
      <c r="K97" s="25" t="str">
        <f>IF(C96=$F$11,SUM($K$18:K96),IF(C97=B97,1/((1+$F$14)^SUM($E$18:E97)),""))</f>
        <v/>
      </c>
    </row>
    <row r="98" spans="2:11" x14ac:dyDescent="0.25">
      <c r="B98" s="18">
        <v>81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IF(C97=$F$11,SUM($F$18:F97),IF(C98=B98,IF(C98=$F$11,I97,ROUND(H98-G98,2)),""))</f>
        <v/>
      </c>
      <c r="G98" s="17" t="str">
        <f>IF(C97=$F$11,SUM($G$18:G97),IF(C98=B98,ROUND(((($F$13+1)^((D98-D97)/360))-1)*I97,2),""))</f>
        <v/>
      </c>
      <c r="H98" s="17" t="str">
        <f>IF(C97=$F$11,SUM($H$18:H97),IF(C98=B98,IF(C98=$F$11,F98+G98,ROUND($I$17/VLOOKUP("Totales",$D$18:$K$117,8,FALSE),2)),""))</f>
        <v/>
      </c>
      <c r="I98" s="17" t="str">
        <f t="shared" si="5"/>
        <v/>
      </c>
      <c r="J98" s="17"/>
      <c r="K98" s="25" t="str">
        <f>IF(C97=$F$11,SUM($K$18:K97),IF(C98=B98,1/((1+$F$14)^SUM($E$18:E98)),""))</f>
        <v/>
      </c>
    </row>
    <row r="99" spans="2:11" x14ac:dyDescent="0.25">
      <c r="B99" s="18">
        <v>82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IF(C98=$F$11,SUM($F$18:F98),IF(C99=B99,IF(C99=$F$11,I98,ROUND(H99-G99,2)),""))</f>
        <v/>
      </c>
      <c r="G99" s="17" t="str">
        <f>IF(C98=$F$11,SUM($G$18:G98),IF(C99=B99,ROUND(((($F$13+1)^((D99-D98)/360))-1)*I98,2),""))</f>
        <v/>
      </c>
      <c r="H99" s="17" t="str">
        <f>IF(C98=$F$11,SUM($H$18:H98),IF(C99=B99,IF(C99=$F$11,F99+G99,ROUND($I$17/VLOOKUP("Totales",$D$18:$K$117,8,FALSE),2)),""))</f>
        <v/>
      </c>
      <c r="I99" s="17" t="str">
        <f t="shared" si="5"/>
        <v/>
      </c>
      <c r="J99" s="17"/>
      <c r="K99" s="25" t="str">
        <f>IF(C98=$F$11,SUM($K$18:K98),IF(C99=B99,1/((1+$F$14)^SUM($E$18:E99)),""))</f>
        <v/>
      </c>
    </row>
    <row r="100" spans="2:11" x14ac:dyDescent="0.25">
      <c r="B100" s="18">
        <v>83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IF(C99=$F$11,SUM($F$18:F99),IF(C100=B100,IF(C100=$F$11,I99,ROUND(H100-G100,2)),""))</f>
        <v/>
      </c>
      <c r="G100" s="17" t="str">
        <f>IF(C99=$F$11,SUM($G$18:G99),IF(C100=B100,ROUND(((($F$13+1)^((D100-D99)/360))-1)*I99,2),""))</f>
        <v/>
      </c>
      <c r="H100" s="17" t="str">
        <f>IF(C99=$F$11,SUM($H$18:H99),IF(C100=B100,IF(C100=$F$11,F100+G100,ROUND($I$17/VLOOKUP("Totales",$D$18:$K$117,8,FALSE),2)),""))</f>
        <v/>
      </c>
      <c r="I100" s="17" t="str">
        <f t="shared" si="5"/>
        <v/>
      </c>
      <c r="J100" s="17"/>
      <c r="K100" s="25" t="str">
        <f>IF(C99=$F$11,SUM($K$18:K99),IF(C100=B100,1/((1+$F$14)^SUM($E$18:E100)),""))</f>
        <v/>
      </c>
    </row>
    <row r="101" spans="2:11" x14ac:dyDescent="0.25">
      <c r="B101" s="18">
        <v>84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IF(C100=$F$11,SUM($F$18:F100),IF(C101=B101,IF(C101=$F$11,I100,ROUND(H101-G101,2)),""))</f>
        <v/>
      </c>
      <c r="G101" s="17" t="str">
        <f>IF(C100=$F$11,SUM($G$18:G100),IF(C101=B101,ROUND(((($F$13+1)^((D101-D100)/360))-1)*I100,2),""))</f>
        <v/>
      </c>
      <c r="H101" s="17" t="str">
        <f>IF(C100=$F$11,SUM($H$18:H100),IF(C101=B101,IF(C101=$F$11,F101+G101,ROUND($I$17/VLOOKUP("Totales",$D$18:$K$117,8,FALSE),2)),""))</f>
        <v/>
      </c>
      <c r="I101" s="17" t="str">
        <f t="shared" si="5"/>
        <v/>
      </c>
      <c r="J101" s="17"/>
      <c r="K101" s="25" t="str">
        <f>IF(C100=$F$11,SUM($K$18:K100),IF(C101=B101,1/((1+$F$14)^SUM($E$18:E101)),""))</f>
        <v/>
      </c>
    </row>
    <row r="102" spans="2:11" x14ac:dyDescent="0.25">
      <c r="B102" s="18">
        <v>85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IF(C101=$F$11,SUM($F$18:F101),IF(C102=B102,IF(C102=$F$11,I101,ROUND(H102-G102,2)),""))</f>
        <v/>
      </c>
      <c r="G102" s="17" t="str">
        <f>IF(C101=$F$11,SUM($G$18:G101),IF(C102=B102,ROUND(((($F$13+1)^((D102-D101)/360))-1)*I101,2),""))</f>
        <v/>
      </c>
      <c r="H102" s="17" t="str">
        <f>IF(C101=$F$11,SUM($H$18:H101),IF(C102=B102,IF(C102=$F$11,F102+G102,ROUND($I$17/VLOOKUP("Totales",$D$18:$K$117,8,FALSE),2)),""))</f>
        <v/>
      </c>
      <c r="I102" s="17" t="str">
        <f t="shared" si="5"/>
        <v/>
      </c>
      <c r="J102" s="17"/>
      <c r="K102" s="25" t="str">
        <f>IF(C101=$F$11,SUM($K$18:K101),IF(C102=B102,1/((1+$F$14)^SUM($E$18:E102)),""))</f>
        <v/>
      </c>
    </row>
    <row r="103" spans="2:11" x14ac:dyDescent="0.25">
      <c r="B103" s="18">
        <v>86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IF(C102=$F$11,SUM($F$18:F102),IF(C103=B103,IF(C103=$F$11,I102,ROUND(H103-G103,2)),""))</f>
        <v/>
      </c>
      <c r="G103" s="17" t="str">
        <f>IF(C102=$F$11,SUM($G$18:G102),IF(C103=B103,ROUND(((($F$13+1)^((D103-D102)/360))-1)*I102,2),""))</f>
        <v/>
      </c>
      <c r="H103" s="17" t="str">
        <f>IF(C102=$F$11,SUM($H$18:H102),IF(C103=B103,IF(C103=$F$11,F103+G103,ROUND($I$17/VLOOKUP("Totales",$D$18:$K$117,8,FALSE),2)),""))</f>
        <v/>
      </c>
      <c r="I103" s="17" t="str">
        <f t="shared" si="5"/>
        <v/>
      </c>
      <c r="J103" s="17"/>
      <c r="K103" s="25" t="str">
        <f>IF(C102=$F$11,SUM($K$18:K102),IF(C103=B103,1/((1+$F$14)^SUM($E$18:E103)),""))</f>
        <v/>
      </c>
    </row>
    <row r="104" spans="2:11" x14ac:dyDescent="0.25">
      <c r="B104" s="18">
        <v>87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IF(C103=$F$11,SUM($F$18:F103),IF(C104=B104,IF(C104=$F$11,I103,ROUND(H104-G104,2)),""))</f>
        <v/>
      </c>
      <c r="G104" s="17" t="str">
        <f>IF(C103=$F$11,SUM($G$18:G103),IF(C104=B104,ROUND(((($F$13+1)^((D104-D103)/360))-1)*I103,2),""))</f>
        <v/>
      </c>
      <c r="H104" s="17" t="str">
        <f>IF(C103=$F$11,SUM($H$18:H103),IF(C104=B104,IF(C104=$F$11,F104+G104,ROUND($I$17/VLOOKUP("Totales",$D$18:$K$117,8,FALSE),2)),""))</f>
        <v/>
      </c>
      <c r="I104" s="17" t="str">
        <f t="shared" si="5"/>
        <v/>
      </c>
      <c r="J104" s="17"/>
      <c r="K104" s="25" t="str">
        <f>IF(C103=$F$11,SUM($K$18:K103),IF(C104=B104,1/((1+$F$14)^SUM($E$18:E104)),""))</f>
        <v/>
      </c>
    </row>
    <row r="105" spans="2:11" x14ac:dyDescent="0.25">
      <c r="B105" s="18">
        <v>88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IF(C104=$F$11,SUM($F$18:F104),IF(C105=B105,IF(C105=$F$11,I104,ROUND(H105-G105,2)),""))</f>
        <v/>
      </c>
      <c r="G105" s="17" t="str">
        <f>IF(C104=$F$11,SUM($G$18:G104),IF(C105=B105,ROUND(((($F$13+1)^((D105-D104)/360))-1)*I104,2),""))</f>
        <v/>
      </c>
      <c r="H105" s="17" t="str">
        <f>IF(C104=$F$11,SUM($H$18:H104),IF(C105=B105,IF(C105=$F$11,F105+G105,ROUND($I$17/VLOOKUP("Totales",$D$18:$K$117,8,FALSE),2)),""))</f>
        <v/>
      </c>
      <c r="I105" s="17" t="str">
        <f t="shared" si="5"/>
        <v/>
      </c>
      <c r="J105" s="17"/>
      <c r="K105" s="25" t="str">
        <f>IF(C104=$F$11,SUM($K$18:K104),IF(C105=B105,1/((1+$F$14)^SUM($E$18:E105)),""))</f>
        <v/>
      </c>
    </row>
    <row r="106" spans="2:11" x14ac:dyDescent="0.25">
      <c r="B106" s="18">
        <v>89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IF(C105=$F$11,SUM($F$18:F105),IF(C106=B106,IF(C106=$F$11,I105,ROUND(H106-G106,2)),""))</f>
        <v/>
      </c>
      <c r="G106" s="17" t="str">
        <f>IF(C105=$F$11,SUM($G$18:G105),IF(C106=B106,ROUND(((($F$13+1)^((D106-D105)/360))-1)*I105,2),""))</f>
        <v/>
      </c>
      <c r="H106" s="17" t="str">
        <f>IF(C105=$F$11,SUM($H$18:H105),IF(C106=B106,IF(C106=$F$11,F106+G106,ROUND($I$17/VLOOKUP("Totales",$D$18:$K$117,8,FALSE),2)),""))</f>
        <v/>
      </c>
      <c r="I106" s="17" t="str">
        <f t="shared" si="5"/>
        <v/>
      </c>
      <c r="J106" s="17"/>
      <c r="K106" s="25" t="str">
        <f>IF(C105=$F$11,SUM($K$18:K105),IF(C106=B106,1/((1+$F$14)^SUM($E$18:E106)),""))</f>
        <v/>
      </c>
    </row>
    <row r="107" spans="2:11" x14ac:dyDescent="0.25">
      <c r="B107" s="18">
        <v>90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IF(C106=$F$11,SUM($F$18:F106),IF(C107=B107,IF(C107=$F$11,I106,ROUND(H107-G107,2)),""))</f>
        <v/>
      </c>
      <c r="G107" s="17" t="str">
        <f>IF(C106=$F$11,SUM($G$18:G106),IF(C107=B107,ROUND(((($F$13+1)^((D107-D106)/360))-1)*I106,2),""))</f>
        <v/>
      </c>
      <c r="H107" s="17" t="str">
        <f>IF(C106=$F$11,SUM($H$18:H106),IF(C107=B107,IF(C107=$F$11,F107+G107,ROUND($I$17/VLOOKUP("Totales",$D$18:$K$117,8,FALSE),2)),""))</f>
        <v/>
      </c>
      <c r="I107" s="17" t="str">
        <f t="shared" si="5"/>
        <v/>
      </c>
      <c r="J107" s="17"/>
      <c r="K107" s="25" t="str">
        <f>IF(C106=$F$11,SUM($K$18:K106),IF(C107=B107,1/((1+$F$14)^SUM($E$18:E107)),""))</f>
        <v/>
      </c>
    </row>
    <row r="108" spans="2:11" x14ac:dyDescent="0.25">
      <c r="B108" s="18">
        <v>91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IF(C107=$F$11,SUM($F$18:F107),IF(C108=B108,IF(C108=$F$11,I107,ROUND(H108-G108,2)),""))</f>
        <v/>
      </c>
      <c r="G108" s="17" t="str">
        <f>IF(C107=$F$11,SUM($G$18:G107),IF(C108=B108,ROUND(((($F$13+1)^((D108-D107)/360))-1)*I107,2),""))</f>
        <v/>
      </c>
      <c r="H108" s="17" t="str">
        <f>IF(C107=$F$11,SUM($H$18:H107),IF(C108=B108,IF(C108=$F$11,F108+G108,ROUND($I$17/VLOOKUP("Totales",$D$18:$K$117,8,FALSE),2)),""))</f>
        <v/>
      </c>
      <c r="I108" s="17" t="str">
        <f t="shared" si="5"/>
        <v/>
      </c>
      <c r="J108" s="17"/>
      <c r="K108" s="25" t="str">
        <f>IF(C107=$F$11,SUM($K$18:K107),IF(C108=B108,1/((1+$F$14)^SUM($E$18:E108)),""))</f>
        <v/>
      </c>
    </row>
    <row r="109" spans="2:11" x14ac:dyDescent="0.25">
      <c r="B109" s="18">
        <v>92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IF(C108=$F$11,SUM($F$18:F108),IF(C109=B109,IF(C109=$F$11,I108,ROUND(H109-G109,2)),""))</f>
        <v/>
      </c>
      <c r="G109" s="17" t="str">
        <f>IF(C108=$F$11,SUM($G$18:G108),IF(C109=B109,ROUND(((($F$13+1)^((D109-D108)/360))-1)*I108,2),""))</f>
        <v/>
      </c>
      <c r="H109" s="17" t="str">
        <f>IF(C108=$F$11,SUM($H$18:H108),IF(C109=B109,IF(C109=$F$11,F109+G109,ROUND($I$17/VLOOKUP("Totales",$D$18:$K$117,8,FALSE),2)),""))</f>
        <v/>
      </c>
      <c r="I109" s="17" t="str">
        <f t="shared" si="5"/>
        <v/>
      </c>
      <c r="J109" s="17"/>
      <c r="K109" s="25" t="str">
        <f>IF(C108=$F$11,SUM($K$18:K108),IF(C109=B109,1/((1+$F$14)^SUM($E$18:E109)),""))</f>
        <v/>
      </c>
    </row>
    <row r="110" spans="2:11" x14ac:dyDescent="0.25">
      <c r="B110" s="18">
        <v>93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IF(C109=$F$11,SUM($F$18:F109),IF(C110=B110,IF(C110=$F$11,I109,ROUND(H110-G110,2)),""))</f>
        <v/>
      </c>
      <c r="G110" s="17" t="str">
        <f>IF(C109=$F$11,SUM($G$18:G109),IF(C110=B110,ROUND(((($F$13+1)^((D110-D109)/360))-1)*I109,2),""))</f>
        <v/>
      </c>
      <c r="H110" s="17" t="str">
        <f>IF(C109=$F$11,SUM($H$18:H109),IF(C110=B110,IF(C110=$F$11,F110+G110,ROUND($I$17/VLOOKUP("Totales",$D$18:$K$117,8,FALSE),2)),""))</f>
        <v/>
      </c>
      <c r="I110" s="17" t="str">
        <f t="shared" si="5"/>
        <v/>
      </c>
      <c r="J110" s="17"/>
      <c r="K110" s="25" t="str">
        <f>IF(C109=$F$11,SUM($K$18:K109),IF(C110=B110,1/((1+$F$14)^SUM($E$18:E110)),""))</f>
        <v/>
      </c>
    </row>
    <row r="111" spans="2:11" x14ac:dyDescent="0.25">
      <c r="B111" s="18">
        <v>94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IF(C110=$F$11,SUM($F$18:F110),IF(C111=B111,IF(C111=$F$11,I110,ROUND(H111-G111,2)),""))</f>
        <v/>
      </c>
      <c r="G111" s="17" t="str">
        <f>IF(C110=$F$11,SUM($G$18:G110),IF(C111=B111,ROUND(((($F$13+1)^((D111-D110)/360))-1)*I110,2),""))</f>
        <v/>
      </c>
      <c r="H111" s="17" t="str">
        <f>IF(C110=$F$11,SUM($H$18:H110),IF(C111=B111,IF(C111=$F$11,F111+G111,ROUND($I$17/VLOOKUP("Totales",$D$18:$K$117,8,FALSE),2)),""))</f>
        <v/>
      </c>
      <c r="I111" s="17" t="str">
        <f t="shared" si="5"/>
        <v/>
      </c>
      <c r="J111" s="17"/>
      <c r="K111" s="25" t="str">
        <f>IF(C110=$F$11,SUM($K$18:K110),IF(C111=B111,1/((1+$F$14)^SUM($E$18:E111)),""))</f>
        <v/>
      </c>
    </row>
    <row r="112" spans="2:11" x14ac:dyDescent="0.25">
      <c r="B112" s="18">
        <v>95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IF(C111=$F$11,SUM($F$18:F111),IF(C112=B112,IF(C112=$F$11,I111,ROUND(H112-G112,2)),""))</f>
        <v/>
      </c>
      <c r="G112" s="17" t="str">
        <f>IF(C111=$F$11,SUM($G$18:G111),IF(C112=B112,ROUND(((($F$13+1)^((D112-D111)/360))-1)*I111,2),""))</f>
        <v/>
      </c>
      <c r="H112" s="17" t="str">
        <f>IF(C111=$F$11,SUM($H$18:H111),IF(C112=B112,IF(C112=$F$11,F112+G112,ROUND($I$17/VLOOKUP("Totales",$D$18:$K$117,8,FALSE),2)),""))</f>
        <v/>
      </c>
      <c r="I112" s="17" t="str">
        <f t="shared" si="5"/>
        <v/>
      </c>
      <c r="J112" s="17"/>
      <c r="K112" s="25" t="str">
        <f>IF(C111=$F$11,SUM($K$18:K111),IF(C112=B112,1/((1+$F$14)^SUM($E$18:E112)),""))</f>
        <v/>
      </c>
    </row>
    <row r="113" spans="2:11" x14ac:dyDescent="0.25">
      <c r="B113" s="18">
        <v>96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IF(C112=$F$11,SUM($F$18:F112),IF(C113=B113,IF(C113=$F$11,I112,ROUND(H113-G113,2)),""))</f>
        <v/>
      </c>
      <c r="G113" s="17" t="str">
        <f>IF(C112=$F$11,SUM($G$18:G112),IF(C113=B113,ROUND(((($F$13+1)^((D113-D112)/360))-1)*I112,2),""))</f>
        <v/>
      </c>
      <c r="H113" s="17" t="str">
        <f>IF(C112=$F$11,SUM($H$18:H112),IF(C113=B113,IF(C113=$F$11,F113+G113,ROUND($I$17/VLOOKUP("Totales",$D$18:$K$117,8,FALSE),2)),""))</f>
        <v/>
      </c>
      <c r="I113" s="17" t="str">
        <f t="shared" si="5"/>
        <v/>
      </c>
      <c r="J113" s="17"/>
      <c r="K113" s="25" t="str">
        <f>IF(C112=$F$11,SUM($K$18:K112),IF(C113=B113,1/((1+$F$14)^SUM($E$18:E113)),""))</f>
        <v/>
      </c>
    </row>
    <row r="114" spans="2:11" x14ac:dyDescent="0.25">
      <c r="B114" s="18">
        <v>97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IF(C113=$F$11,SUM($F$18:F113),IF(C114=B114,IF(C114=$F$11,I113,ROUND(H114-G114,2)),""))</f>
        <v/>
      </c>
      <c r="G114" s="17" t="str">
        <f>IF(C113=$F$11,SUM($G$18:G113),IF(C114=B114,ROUND(((($F$13+1)^((D114-D113)/360))-1)*I113,2),""))</f>
        <v/>
      </c>
      <c r="H114" s="17" t="str">
        <f>IF(C113=$F$11,SUM($H$18:H113),IF(C114=B114,IF(C114=$F$11,F114+G114,ROUND($I$17/VLOOKUP("Totales",$D$18:$K$117,8,FALSE),2)),""))</f>
        <v/>
      </c>
      <c r="I114" s="17" t="str">
        <f t="shared" si="5"/>
        <v/>
      </c>
      <c r="J114" s="17"/>
      <c r="K114" s="25" t="str">
        <f>IF(C113=$F$11,SUM($K$18:K113),IF(C114=B114,1/((1+$F$14)^SUM($E$18:E114)),""))</f>
        <v/>
      </c>
    </row>
    <row r="115" spans="2:11" x14ac:dyDescent="0.25">
      <c r="B115" s="18">
        <v>98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IF(C114=$F$11,SUM($F$18:F114),IF(C115=B115,IF(C115=$F$11,I114,ROUND(H115-G115,2)),""))</f>
        <v/>
      </c>
      <c r="G115" s="17" t="str">
        <f>IF(C114=$F$11,SUM($G$18:G114),IF(C115=B115,ROUND(((($F$13+1)^((D115-D114)/360))-1)*I114,2),""))</f>
        <v/>
      </c>
      <c r="H115" s="17" t="str">
        <f>IF(C114=$F$11,SUM($H$18:H114),IF(C115=B115,IF(C115=$F$11,F115+G115,ROUND($I$17/VLOOKUP("Totales",$D$18:$K$117,8,FALSE),2)),""))</f>
        <v/>
      </c>
      <c r="I115" s="17" t="str">
        <f t="shared" si="5"/>
        <v/>
      </c>
      <c r="J115" s="17"/>
      <c r="K115" s="25" t="str">
        <f>IF(C114=$F$11,SUM($K$18:K114),IF(C115=B115,1/((1+$F$14)^SUM($E$18:E115)),""))</f>
        <v/>
      </c>
    </row>
    <row r="116" spans="2:11" x14ac:dyDescent="0.25">
      <c r="B116" s="18">
        <v>99</v>
      </c>
      <c r="C116" s="19" t="str">
        <f t="shared" si="6"/>
        <v/>
      </c>
      <c r="D116" s="20" t="str">
        <f t="shared" si="7"/>
        <v/>
      </c>
      <c r="E116" s="23" t="str">
        <f t="shared" si="4"/>
        <v/>
      </c>
      <c r="F116" s="17" t="str">
        <f>IF(C115=$F$11,SUM($F$18:F115),IF(C116=B116,IF(C116=$F$11,I115,ROUND(H116-G116,2)),""))</f>
        <v/>
      </c>
      <c r="G116" s="17" t="str">
        <f>IF(C115=$F$11,SUM($G$18:G115),IF(C116=B116,ROUND(((($F$13+1)^((D116-D115)/360))-1)*I115,2),""))</f>
        <v/>
      </c>
      <c r="H116" s="17" t="str">
        <f>IF(C115=$F$11,SUM($H$18:H115),IF(C116=B116,IF(C116=$F$11,F116+G116,ROUND($I$17/VLOOKUP("Totales",$D$18:$K$117,8,FALSE),2)),""))</f>
        <v/>
      </c>
      <c r="I116" s="17" t="str">
        <f t="shared" si="5"/>
        <v/>
      </c>
      <c r="J116" s="17"/>
      <c r="K116" s="25" t="str">
        <f>IF(C115=$F$11,SUM($K$18:K115),IF(C116=B116,1/((1+$F$14)^SUM($E$18:E116)),""))</f>
        <v/>
      </c>
    </row>
    <row r="117" spans="2:11" x14ac:dyDescent="0.25">
      <c r="B117" s="18">
        <v>100</v>
      </c>
      <c r="C117" s="19" t="str">
        <f t="shared" si="6"/>
        <v/>
      </c>
      <c r="D117" s="20" t="str">
        <f t="shared" ref="D117" si="8">IF(C116=$F$11,"Totales",IF(B117&lt;=$F$11,DATE(IF(MONTH(D116)=12,YEAR(D116)+1,YEAR(D116)),IF(MONTH(D116)=12,1,MONTH(D116)+1),10),""))</f>
        <v/>
      </c>
      <c r="E117" s="23" t="str">
        <f t="shared" si="4"/>
        <v/>
      </c>
      <c r="F117" s="17" t="str">
        <f>IF(C116=$F$11,SUM($F$18:F116),IF(C117=B117,IF(C117=$F$11,I116,ROUND(H117-G117,2)),""))</f>
        <v/>
      </c>
      <c r="G117" s="17" t="str">
        <f>IF(C116=$F$11,SUM($G$18:G116),IF(C117=B117,ROUND(((($F$13+1)^((D117-D116)/360))-1)*I116,2),""))</f>
        <v/>
      </c>
      <c r="H117" s="17" t="str">
        <f>IF(C116=$F$11,SUM($H$18:H116),IF(C117=B117,IF(C117=$F$11,F117+G117,ROUND($I$17/VLOOKUP("Totales",$D$18:$K$117,8,FALSE),2)),""))</f>
        <v/>
      </c>
      <c r="I117" s="17" t="str">
        <f t="shared" si="5"/>
        <v/>
      </c>
      <c r="J117" s="17"/>
      <c r="K117" s="25" t="str">
        <f>IF(C116=$F$11,SUM($K$18:K116),IF(C117=B117,1/((1+$F$14)^SUM($E$18:E117)),""))</f>
        <v/>
      </c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  <row r="129" spans="2:2" x14ac:dyDescent="0.25">
      <c r="B129" s="18"/>
    </row>
  </sheetData>
  <sheetProtection algorithmName="SHA-512" hashValue="z2zw9oJS2XrxiAvybxrmL8zCmESWd/9e/M6uElQvqcAOf63GeuHnU9zMRh0k+uPbCvDYvo/YPj/IO0q9/WQs3w==" saltValue="g+JQJIRGSPkkcST8zmmLKQ==" spinCount="100000" sheet="1" objects="1" scenarios="1" selectLockedCells="1"/>
  <mergeCells count="10">
    <mergeCell ref="C2:I2"/>
    <mergeCell ref="F12:I12"/>
    <mergeCell ref="F13:I13"/>
    <mergeCell ref="F14:I14"/>
    <mergeCell ref="C6:F6"/>
    <mergeCell ref="C7:F7"/>
    <mergeCell ref="C8:I8"/>
    <mergeCell ref="C9:I9"/>
    <mergeCell ref="F10:I10"/>
    <mergeCell ref="F11:I11"/>
  </mergeCells>
  <conditionalFormatting sqref="J16 L66:M68 C117:K117 F10:F11 C106:C116 E106:K116">
    <cfRule type="cellIs" dxfId="15" priority="4" stopIfTrue="1" operator="notEqual">
      <formula>""</formula>
    </cfRule>
  </conditionalFormatting>
  <conditionalFormatting sqref="J18:J65 K18:K105 C17:I18 C19:C105 E19:I65 E66:J105 D19:D116">
    <cfRule type="cellIs" dxfId="14" priority="3" stopIfTrue="1" operator="notEqual">
      <formula>""</formula>
    </cfRule>
  </conditionalFormatting>
  <conditionalFormatting sqref="F12">
    <cfRule type="cellIs" dxfId="13" priority="2" stopIfTrue="1" operator="notEqual">
      <formula>""</formula>
    </cfRule>
  </conditionalFormatting>
  <dataValidations count="1">
    <dataValidation type="list" allowBlank="1" showInputMessage="1" showErrorMessage="1" errorTitle="PÑPÑ" error="ZXCB" sqref="C8:I8" xr:uid="{00000000-0002-0000-0300-000000000000}">
      <formula1>$K$4:$K$5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9"/>
  <sheetViews>
    <sheetView showGridLines="0" topLeftCell="B1" zoomScale="85" zoomScaleNormal="85" zoomScaleSheetLayoutView="85" workbookViewId="0">
      <selection activeCell="F10" sqref="F10:I10"/>
    </sheetView>
  </sheetViews>
  <sheetFormatPr baseColWidth="10" defaultColWidth="11.453125" defaultRowHeight="12.5" x14ac:dyDescent="0.25"/>
  <cols>
    <col min="1" max="1" width="0" style="1" hidden="1" customWidth="1"/>
    <col min="2" max="2" width="3.1796875" style="1" bestFit="1" customWidth="1"/>
    <col min="3" max="3" width="9.7265625" style="1" customWidth="1"/>
    <col min="4" max="4" width="14.453125" style="1" customWidth="1"/>
    <col min="5" max="5" width="10.54296875" style="1" customWidth="1"/>
    <col min="6" max="9" width="18.726562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3:15" x14ac:dyDescent="0.25">
      <c r="D1" s="2"/>
    </row>
    <row r="2" spans="3:15" ht="24" customHeight="1" x14ac:dyDescent="0.25">
      <c r="C2" s="68" t="s">
        <v>22</v>
      </c>
      <c r="D2" s="68"/>
      <c r="E2" s="68"/>
      <c r="F2" s="68"/>
      <c r="G2" s="68"/>
      <c r="H2" s="68"/>
      <c r="I2" s="68"/>
    </row>
    <row r="3" spans="3:15" ht="15" customHeight="1" x14ac:dyDescent="0.25">
      <c r="C3" s="68"/>
      <c r="D3" s="68"/>
      <c r="E3" s="68"/>
      <c r="F3" s="68"/>
      <c r="G3" s="68"/>
      <c r="H3" s="68"/>
      <c r="I3" s="68"/>
    </row>
    <row r="4" spans="3:15" ht="13" x14ac:dyDescent="0.3">
      <c r="C4" s="3" t="s">
        <v>20</v>
      </c>
      <c r="K4" s="1" t="s">
        <v>0</v>
      </c>
    </row>
    <row r="5" spans="3:15" x14ac:dyDescent="0.25">
      <c r="K5" s="1" t="s">
        <v>1</v>
      </c>
    </row>
    <row r="6" spans="3:15" s="40" customFormat="1" ht="7.5" customHeight="1" x14ac:dyDescent="0.25">
      <c r="C6" s="54" t="str">
        <f>IF((D17+SUM(E18:E117))&gt;46387,"No cumple condición crediticia:","")</f>
        <v/>
      </c>
      <c r="D6" s="54"/>
      <c r="E6" s="54"/>
      <c r="F6" s="54"/>
    </row>
    <row r="7" spans="3:15" s="40" customFormat="1" ht="8.25" customHeight="1" x14ac:dyDescent="0.25">
      <c r="C7" s="55" t="str">
        <f>IF(C6="No cumple condición crediticia:","Reducir plazo del préstamo","")</f>
        <v/>
      </c>
      <c r="D7" s="55"/>
      <c r="E7" s="55"/>
      <c r="F7" s="55"/>
    </row>
    <row r="8" spans="3:15" ht="15" customHeight="1" x14ac:dyDescent="0.25">
      <c r="C8" s="56" t="s">
        <v>0</v>
      </c>
      <c r="D8" s="57"/>
      <c r="E8" s="57"/>
      <c r="F8" s="57"/>
      <c r="G8" s="57"/>
      <c r="H8" s="57"/>
      <c r="I8" s="58"/>
    </row>
    <row r="9" spans="3:15" s="4" customFormat="1" ht="12.75" customHeight="1" x14ac:dyDescent="0.25">
      <c r="C9" s="59" t="s">
        <v>2</v>
      </c>
      <c r="D9" s="60"/>
      <c r="E9" s="60"/>
      <c r="F9" s="60"/>
      <c r="G9" s="60"/>
      <c r="H9" s="60"/>
      <c r="I9" s="60"/>
      <c r="J9" s="1"/>
      <c r="N9" s="1"/>
      <c r="O9" s="1"/>
    </row>
    <row r="10" spans="3:15" ht="14.25" customHeight="1" x14ac:dyDescent="0.25">
      <c r="C10" s="5" t="s">
        <v>3</v>
      </c>
      <c r="D10" s="6"/>
      <c r="E10" s="7"/>
      <c r="F10" s="61">
        <v>3000000</v>
      </c>
      <c r="G10" s="62"/>
      <c r="H10" s="62"/>
      <c r="I10" s="63"/>
      <c r="J10" s="8"/>
      <c r="K10" s="4"/>
      <c r="L10" s="9" t="s">
        <v>4</v>
      </c>
      <c r="M10" s="10" t="s">
        <v>5</v>
      </c>
    </row>
    <row r="11" spans="3:15" ht="14.25" customHeight="1" x14ac:dyDescent="0.25">
      <c r="C11" s="5" t="s">
        <v>6</v>
      </c>
      <c r="D11" s="6"/>
      <c r="E11" s="7"/>
      <c r="F11" s="64">
        <v>44</v>
      </c>
      <c r="G11" s="65"/>
      <c r="H11" s="65"/>
      <c r="I11" s="66"/>
      <c r="J11" s="8"/>
      <c r="K11" s="11">
        <f>IF($C$8="GOBIERNOS LOCALES",M11,L11)</f>
        <v>8.2500000000000004E-2</v>
      </c>
      <c r="L11" s="12">
        <f>IF($F$10&gt;1000000,7.75%,8.75%)</f>
        <v>7.7499999999999999E-2</v>
      </c>
      <c r="M11" s="12">
        <f>IF($F$10&gt;1000000,8.25%,9.25%)</f>
        <v>8.2500000000000004E-2</v>
      </c>
    </row>
    <row r="12" spans="3:15" ht="14.25" customHeight="1" x14ac:dyDescent="0.25">
      <c r="C12" s="5" t="s">
        <v>7</v>
      </c>
      <c r="D12" s="6"/>
      <c r="E12" s="7"/>
      <c r="F12" s="45">
        <v>45037</v>
      </c>
      <c r="G12" s="46"/>
      <c r="H12" s="46"/>
      <c r="I12" s="47"/>
      <c r="J12" s="13"/>
      <c r="K12" s="11">
        <f>IF($C$8="GOBIERNOS LOCALES",M12,L12)</f>
        <v>9.2499999999999999E-2</v>
      </c>
      <c r="L12" s="12">
        <f>IF($F$10&gt;1000000,8.25%,9.25%)</f>
        <v>8.2500000000000004E-2</v>
      </c>
      <c r="M12" s="12">
        <f>IF($F$10&gt;1000000,9.25%,10.25%)</f>
        <v>9.2499999999999999E-2</v>
      </c>
    </row>
    <row r="13" spans="3:15" x14ac:dyDescent="0.25">
      <c r="C13" s="5" t="s">
        <v>8</v>
      </c>
      <c r="D13" s="6"/>
      <c r="E13" s="7"/>
      <c r="F13" s="48">
        <f>IF(AND(F11&gt;=1,F11&lt;=12),K11,IF(AND(F11&lt;=24,F11&gt;12),K12,IF(AND(F11&lt;=36,F11&gt;24),K13,IF(AND(F11&lt;=60,F11&gt;36),K14,"No aplicable"))))</f>
        <v>0.1275</v>
      </c>
      <c r="G13" s="49"/>
      <c r="H13" s="49"/>
      <c r="I13" s="50"/>
      <c r="J13" s="14"/>
      <c r="K13" s="11">
        <f>IF($C$8="GOBIERNOS LOCALES",M13,L13)</f>
        <v>0.10249999999999999</v>
      </c>
      <c r="L13" s="12">
        <f>IF($F$10&gt;1000000,9.25%,10.25%)</f>
        <v>9.2499999999999999E-2</v>
      </c>
      <c r="M13" s="12">
        <f>IF($F$10&gt;1000000,10.25%,11.25%)</f>
        <v>0.10249999999999999</v>
      </c>
    </row>
    <row r="14" spans="3:15" hidden="1" x14ac:dyDescent="0.25">
      <c r="C14" s="5" t="s">
        <v>9</v>
      </c>
      <c r="D14" s="6"/>
      <c r="E14" s="7"/>
      <c r="F14" s="51">
        <f>((F13+1)^(1/360))-1</f>
        <v>3.3339665430021093E-4</v>
      </c>
      <c r="G14" s="52"/>
      <c r="H14" s="52"/>
      <c r="I14" s="53"/>
      <c r="K14" s="11">
        <f>IF($C$8="GOBIERNOS LOCALES",M14,L14)</f>
        <v>0.1275</v>
      </c>
      <c r="L14" s="12">
        <f>IF($F$10&gt;1000000,11.75%,12.75%)</f>
        <v>0.11749999999999999</v>
      </c>
      <c r="M14" s="12">
        <f>IF($F$10&gt;1000000,12.75%,13.75%)</f>
        <v>0.1275</v>
      </c>
    </row>
    <row r="15" spans="3:15" x14ac:dyDescent="0.25">
      <c r="I15" s="15"/>
    </row>
    <row r="16" spans="3:15" x14ac:dyDescent="0.25">
      <c r="C16" s="16" t="s">
        <v>10</v>
      </c>
      <c r="D16" s="16" t="s">
        <v>11</v>
      </c>
      <c r="E16" s="16" t="s">
        <v>12</v>
      </c>
      <c r="F16" s="16" t="s">
        <v>13</v>
      </c>
      <c r="G16" s="16" t="s">
        <v>14</v>
      </c>
      <c r="H16" s="16" t="s">
        <v>15</v>
      </c>
      <c r="I16" s="16" t="s">
        <v>16</v>
      </c>
      <c r="J16" s="17"/>
      <c r="K16" s="16" t="s">
        <v>9</v>
      </c>
    </row>
    <row r="17" spans="2:13" x14ac:dyDescent="0.25">
      <c r="B17" s="18">
        <v>0</v>
      </c>
      <c r="C17" s="19">
        <v>0</v>
      </c>
      <c r="D17" s="20">
        <f>+F12</f>
        <v>45037</v>
      </c>
      <c r="E17" s="20"/>
      <c r="F17" s="21">
        <v>0</v>
      </c>
      <c r="G17" s="21">
        <v>0</v>
      </c>
      <c r="H17" s="21">
        <v>0</v>
      </c>
      <c r="I17" s="17">
        <f>+F10</f>
        <v>3000000</v>
      </c>
      <c r="K17" s="22"/>
    </row>
    <row r="18" spans="2:13" x14ac:dyDescent="0.25">
      <c r="B18" s="18">
        <v>1</v>
      </c>
      <c r="C18" s="19">
        <f>IF(B18&lt;=$F$11,B18,"")</f>
        <v>1</v>
      </c>
      <c r="D18" s="20">
        <f>IF(C17=$F$11,"Totales",IF(B18&lt;=$F$11,DATE(IF(MONTH(D17)=12,YEAR(D17)+1,YEAR(D17)),IF(MONTH(D17)=12,1,IF(DAY(D17)&lt;10,MONTH(D17),MONTH(D17)+1)),15),""))</f>
        <v>45061</v>
      </c>
      <c r="E18" s="23">
        <f t="shared" ref="E18:E63" si="0">IF(C18=B18,D18-D17,"")</f>
        <v>24</v>
      </c>
      <c r="F18" s="17">
        <f>IF(C17=$F$11,SUM($F17:F$18),IF(C18=B18,IF(C18=$F$11,I17,ROUND(H18-G18,2)),""))</f>
        <v>60714.04</v>
      </c>
      <c r="G18" s="17">
        <f>IF(C17=$F$11,SUM($G17:G$18),IF(C18=B18,ROUND(((($F$13+1)^((D18-D17)/360))-1)*I17,2),""))</f>
        <v>24096.82</v>
      </c>
      <c r="H18" s="17">
        <f>IF(C17=$F$11,SUM($H17:H$18),IF(C18=B18,IF(C18=$F$11,F18+G18,ROUND($I$17/VLOOKUP("Totales",$D$18:$K$117,8,FALSE),2)),""))</f>
        <v>84810.86</v>
      </c>
      <c r="I18" s="17">
        <f>IF(C18=B18,ROUND(I17-F18,2),"")</f>
        <v>2939285.96</v>
      </c>
      <c r="J18" s="24"/>
      <c r="K18" s="25">
        <f>IF(C17=$F$11,SUM($K17:K$18),IF(C18=B18,1/((1+$F$14)^SUM($E$18:E18)),""))</f>
        <v>0.99203173016076529</v>
      </c>
      <c r="L18" s="26"/>
      <c r="M18" s="26"/>
    </row>
    <row r="19" spans="2:13" x14ac:dyDescent="0.25">
      <c r="B19" s="18">
        <v>2</v>
      </c>
      <c r="C19" s="19">
        <f t="shared" ref="C19:C82" si="1">IF(B19&lt;=$F$11,B19,"")</f>
        <v>2</v>
      </c>
      <c r="D19" s="20">
        <f t="shared" ref="D19:D82" si="2">IF(C18=$F$11,"Totales",IF(B19&lt;=$F$11,DATE(IF(MONTH(D18)=12,YEAR(D18)+1,YEAR(D18)),IF(MONTH(D18)=12,1,IF(DAY(D18)&lt;10,MONTH(D18),MONTH(D18)+1)),15),""))</f>
        <v>45092</v>
      </c>
      <c r="E19" s="23">
        <f t="shared" si="0"/>
        <v>31</v>
      </c>
      <c r="F19" s="17">
        <f>IF(C18=$F$11,SUM($F$18:F18),IF(C19=B19,IF(C19=$F$11,I18,ROUND(H19-G19,2)),""))</f>
        <v>54280.06</v>
      </c>
      <c r="G19" s="17">
        <f>IF(C18=$F$11,SUM($G$18:G18),IF(C19=B19,ROUND(((($F$13+1)^((D19-D18)/360))-1)*I18,2),""))</f>
        <v>30530.799999999999</v>
      </c>
      <c r="H19" s="17">
        <f>IF(C18=$F$11,SUM($H18:H$18),IF(C19=B19,IF(C19=$F$11,F19+G19,ROUND($I$17/VLOOKUP("Totales",$D$18:$K$117,8,FALSE),2)),""))</f>
        <v>84810.86</v>
      </c>
      <c r="I19" s="17">
        <f t="shared" ref="I19:I66" si="3">IF(C19=B19,ROUND(I18-F19,2),"")</f>
        <v>2885005.9</v>
      </c>
      <c r="J19" s="24"/>
      <c r="K19" s="25">
        <f>IF(C18=$F$11,SUM($K$18:K18),IF(C19=B19,1/((1+$F$14)^SUM($E$18:E19)),""))</f>
        <v>0.98183328104021439</v>
      </c>
      <c r="L19" s="26"/>
    </row>
    <row r="20" spans="2:13" x14ac:dyDescent="0.25">
      <c r="B20" s="18">
        <v>3</v>
      </c>
      <c r="C20" s="19">
        <f t="shared" si="1"/>
        <v>3</v>
      </c>
      <c r="D20" s="20">
        <f t="shared" si="2"/>
        <v>45122</v>
      </c>
      <c r="E20" s="23">
        <f t="shared" si="0"/>
        <v>30</v>
      </c>
      <c r="F20" s="17">
        <f>IF(C19=$F$11,SUM($F$18:F19),IF(C20=B20,IF(C20=$F$11,I19,ROUND(H20-G20,2)),""))</f>
        <v>55815.39</v>
      </c>
      <c r="G20" s="17">
        <f>IF(C19=$F$11,SUM($G$18:G19),IF(C20=B20,ROUND(((($F$13+1)^((D20-D19)/360))-1)*I19,2),""))</f>
        <v>28995.47</v>
      </c>
      <c r="H20" s="17">
        <f>IF(C19=$F$11,SUM($H$18:H19),IF(C20=B20,IF(C20=$F$11,F20+G20,ROUND($I$17/VLOOKUP("Totales",$D$18:$K$117,8,FALSE),2)),""))</f>
        <v>84810.86</v>
      </c>
      <c r="I20" s="17">
        <f t="shared" si="3"/>
        <v>2829190.51</v>
      </c>
      <c r="J20" s="24"/>
      <c r="K20" s="25">
        <f>IF(C19=$F$11,SUM($K$18:K19),IF(C20=B20,1/((1+$F$14)^SUM($E$18:E20)),""))</f>
        <v>0.97206365046445398</v>
      </c>
      <c r="L20" s="26"/>
    </row>
    <row r="21" spans="2:13" x14ac:dyDescent="0.25">
      <c r="B21" s="18">
        <v>4</v>
      </c>
      <c r="C21" s="19">
        <f t="shared" si="1"/>
        <v>4</v>
      </c>
      <c r="D21" s="20">
        <f t="shared" si="2"/>
        <v>45153</v>
      </c>
      <c r="E21" s="23">
        <f t="shared" si="0"/>
        <v>31</v>
      </c>
      <c r="F21" s="17">
        <f>IF(C20=$F$11,SUM($F$18:F20),IF(C21=B21,IF(C21=$F$11,I20,ROUND(H21-G21,2)),""))</f>
        <v>55423.64</v>
      </c>
      <c r="G21" s="17">
        <f>IF(C20=$F$11,SUM($G$18:G20),IF(C21=B21,ROUND(((($F$13+1)^((D21-D20)/360))-1)*I20,2),""))</f>
        <v>29387.22</v>
      </c>
      <c r="H21" s="17">
        <f>IF(C20=$F$11,SUM($H$18:H20),IF(C21=B21,IF(C21=$F$11,F21+G21,ROUND($I$17/VLOOKUP("Totales",$D$18:$K$117,8,FALSE),2)),""))</f>
        <v>84810.86</v>
      </c>
      <c r="I21" s="17">
        <f t="shared" si="3"/>
        <v>2773766.87</v>
      </c>
      <c r="J21" s="24"/>
      <c r="K21" s="25">
        <f>IF(C20=$F$11,SUM($K$18:K20),IF(C21=B21,1/((1+$F$14)^SUM($E$18:E21)),""))</f>
        <v>0.96207048050849664</v>
      </c>
      <c r="L21" s="26"/>
    </row>
    <row r="22" spans="2:13" x14ac:dyDescent="0.25">
      <c r="B22" s="18">
        <v>5</v>
      </c>
      <c r="C22" s="19">
        <f t="shared" si="1"/>
        <v>5</v>
      </c>
      <c r="D22" s="20">
        <f t="shared" si="2"/>
        <v>45184</v>
      </c>
      <c r="E22" s="23">
        <f t="shared" si="0"/>
        <v>31</v>
      </c>
      <c r="F22" s="17">
        <f>IF(C21=$F$11,SUM($F$18:F21),IF(C22=B22,IF(C22=$F$11,I21,ROUND(H22-G22,2)),""))</f>
        <v>55999.33</v>
      </c>
      <c r="G22" s="17">
        <f>IF(C21=$F$11,SUM($G$18:G21),IF(C22=B22,ROUND(((($F$13+1)^((D22-D21)/360))-1)*I21,2),""))</f>
        <v>28811.53</v>
      </c>
      <c r="H22" s="17">
        <f>IF(C21=$F$11,SUM($H$18:H21),IF(C22=B22,IF(C22=$F$11,F22+G22,ROUND($I$17/VLOOKUP("Totales",$D$18:$K$117,8,FALSE),2)),""))</f>
        <v>84810.86</v>
      </c>
      <c r="I22" s="17">
        <f t="shared" si="3"/>
        <v>2717767.54</v>
      </c>
      <c r="J22" s="24"/>
      <c r="K22" s="25">
        <f>IF(C21=$F$11,SUM($K$18:K21),IF(C22=B22,1/((1+$F$14)^SUM($E$18:E22)),""))</f>
        <v>0.9521800439956849</v>
      </c>
      <c r="L22" s="26"/>
    </row>
    <row r="23" spans="2:13" x14ac:dyDescent="0.25">
      <c r="B23" s="18">
        <v>6</v>
      </c>
      <c r="C23" s="19">
        <f t="shared" si="1"/>
        <v>6</v>
      </c>
      <c r="D23" s="20">
        <f t="shared" si="2"/>
        <v>45214</v>
      </c>
      <c r="E23" s="23">
        <f t="shared" si="0"/>
        <v>30</v>
      </c>
      <c r="F23" s="17">
        <f>IF(C22=$F$11,SUM($F$18:F22),IF(C23=B23,IF(C23=$F$11,I22,ROUND(H23-G23,2)),""))</f>
        <v>57496.2</v>
      </c>
      <c r="G23" s="17">
        <f>IF(C22=$F$11,SUM($G$18:G22),IF(C23=B23,ROUND(((($F$13+1)^((D23-D22)/360))-1)*I22,2),""))</f>
        <v>27314.66</v>
      </c>
      <c r="H23" s="17">
        <f>IF(C22=$F$11,SUM($H$18:H22),IF(C23=B23,IF(C23=$F$11,F23+G23,ROUND($I$17/VLOOKUP("Totales",$D$18:$K$117,8,FALSE),2)),""))</f>
        <v>84810.86</v>
      </c>
      <c r="I23" s="17">
        <f t="shared" si="3"/>
        <v>2660271.34</v>
      </c>
      <c r="J23" s="24"/>
      <c r="K23" s="25">
        <f>IF(C22=$F$11,SUM($K$18:K22),IF(C23=B23,1/((1+$F$14)^SUM($E$18:E23)),""))</f>
        <v>0.94270547489002821</v>
      </c>
      <c r="L23" s="26"/>
    </row>
    <row r="24" spans="2:13" x14ac:dyDescent="0.25">
      <c r="B24" s="18">
        <v>7</v>
      </c>
      <c r="C24" s="19">
        <f t="shared" si="1"/>
        <v>7</v>
      </c>
      <c r="D24" s="20">
        <f t="shared" si="2"/>
        <v>45245</v>
      </c>
      <c r="E24" s="23">
        <f t="shared" si="0"/>
        <v>31</v>
      </c>
      <c r="F24" s="17">
        <f>IF(C23=$F$11,SUM($F$18:F23),IF(C24=B24,IF(C24=$F$11,I23,ROUND(H24-G24,2)),""))</f>
        <v>57178.22</v>
      </c>
      <c r="G24" s="17">
        <f>IF(C23=$F$11,SUM($G$18:G23),IF(C24=B24,ROUND(((($F$13+1)^((D24-D23)/360))-1)*I23,2),""))</f>
        <v>27632.639999999999</v>
      </c>
      <c r="H24" s="17">
        <f>IF(C23=$F$11,SUM($H$18:H23),IF(C24=B24,IF(C24=$F$11,F24+G24,ROUND($I$17/VLOOKUP("Totales",$D$18:$K$117,8,FALSE),2)),""))</f>
        <v>84810.86</v>
      </c>
      <c r="I24" s="17">
        <f t="shared" si="3"/>
        <v>2603093.12</v>
      </c>
      <c r="J24" s="24"/>
      <c r="K24" s="25">
        <f>IF(C23=$F$11,SUM($K$18:K23),IF(C24=B24,1/((1+$F$14)^SUM($E$18:E24)),""))</f>
        <v>0.93301411771965537</v>
      </c>
      <c r="L24" s="26"/>
    </row>
    <row r="25" spans="2:13" x14ac:dyDescent="0.25">
      <c r="B25" s="18">
        <v>8</v>
      </c>
      <c r="C25" s="19">
        <f t="shared" si="1"/>
        <v>8</v>
      </c>
      <c r="D25" s="20">
        <f t="shared" si="2"/>
        <v>45275</v>
      </c>
      <c r="E25" s="23">
        <f t="shared" si="0"/>
        <v>30</v>
      </c>
      <c r="F25" s="17">
        <f>IF(C24=$F$11,SUM($F$18:F24),IF(C25=B25,IF(C25=$F$11,I24,ROUND(H25-G25,2)),""))</f>
        <v>58648.73</v>
      </c>
      <c r="G25" s="17">
        <f>IF(C24=$F$11,SUM($G$18:G24),IF(C25=B25,ROUND(((($F$13+1)^((D25-D24)/360))-1)*I24,2),""))</f>
        <v>26162.13</v>
      </c>
      <c r="H25" s="17">
        <f>IF(C24=$F$11,SUM($H$18:H24),IF(C25=B25,IF(C25=$F$11,F25+G25,ROUND($I$17/VLOOKUP("Totales",$D$18:$K$117,8,FALSE),2)),""))</f>
        <v>84810.86</v>
      </c>
      <c r="I25" s="17">
        <f t="shared" si="3"/>
        <v>2544444.39</v>
      </c>
      <c r="J25" s="24"/>
      <c r="K25" s="25">
        <f>IF(C24=$F$11,SUM($K$18:K24),IF(C25=B25,1/((1+$F$14)^SUM($E$18:E25)),""))</f>
        <v>0.9237302571823216</v>
      </c>
      <c r="L25" s="26"/>
    </row>
    <row r="26" spans="2:13" x14ac:dyDescent="0.25">
      <c r="B26" s="18">
        <v>9</v>
      </c>
      <c r="C26" s="19">
        <f t="shared" si="1"/>
        <v>9</v>
      </c>
      <c r="D26" s="20">
        <f t="shared" si="2"/>
        <v>45306</v>
      </c>
      <c r="E26" s="23">
        <f t="shared" si="0"/>
        <v>31</v>
      </c>
      <c r="F26" s="17">
        <f>IF(C25=$F$11,SUM($F$18:F25),IF(C26=B26,IF(C26=$F$11,I25,ROUND(H26-G26,2)),""))</f>
        <v>58381.34</v>
      </c>
      <c r="G26" s="17">
        <f>IF(C25=$F$11,SUM($G$18:G25),IF(C26=B26,ROUND(((($F$13+1)^((D26-D25)/360))-1)*I25,2),""))</f>
        <v>26429.52</v>
      </c>
      <c r="H26" s="17">
        <f>IF(C25=$F$11,SUM($H$18:H25),IF(C26=B26,IF(C26=$F$11,F26+G26,ROUND($I$17/VLOOKUP("Totales",$D$18:$K$117,8,FALSE),2)),""))</f>
        <v>84810.86</v>
      </c>
      <c r="I26" s="17">
        <f t="shared" si="3"/>
        <v>2486063.0499999998</v>
      </c>
      <c r="J26" s="24"/>
      <c r="K26" s="25">
        <f>IF(C25=$F$11,SUM($K$18:K25),IF(C26=B26,1/((1+$F$14)^SUM($E$18:E26)),""))</f>
        <v>0.91423397219206171</v>
      </c>
      <c r="L26" s="26"/>
    </row>
    <row r="27" spans="2:13" x14ac:dyDescent="0.25">
      <c r="B27" s="18">
        <v>10</v>
      </c>
      <c r="C27" s="19">
        <f t="shared" si="1"/>
        <v>10</v>
      </c>
      <c r="D27" s="20">
        <f t="shared" si="2"/>
        <v>45337</v>
      </c>
      <c r="E27" s="23">
        <f t="shared" si="0"/>
        <v>31</v>
      </c>
      <c r="F27" s="17">
        <f>IF(C26=$F$11,SUM($F$18:F26),IF(C27=B27,IF(C27=$F$11,I26,ROUND(H27-G27,2)),""))</f>
        <v>58987.75</v>
      </c>
      <c r="G27" s="17">
        <f>IF(C26=$F$11,SUM($G$18:G26),IF(C27=B27,ROUND(((($F$13+1)^((D27-D26)/360))-1)*I26,2),""))</f>
        <v>25823.11</v>
      </c>
      <c r="H27" s="17">
        <f>IF(C26=$F$11,SUM($H$18:H26),IF(C27=B27,IF(C27=$F$11,F27+G27,ROUND($I$17/VLOOKUP("Totales",$D$18:$K$117,8,FALSE),2)),""))</f>
        <v>84810.86</v>
      </c>
      <c r="I27" s="17">
        <f t="shared" si="3"/>
        <v>2427075.2999999998</v>
      </c>
      <c r="J27" s="24"/>
      <c r="K27" s="25">
        <f>IF(C26=$F$11,SUM($K$18:K26),IF(C27=B27,1/((1+$F$14)^SUM($E$18:E27)),""))</f>
        <v>0.90483531248571447</v>
      </c>
      <c r="L27" s="26"/>
    </row>
    <row r="28" spans="2:13" x14ac:dyDescent="0.25">
      <c r="B28" s="18">
        <v>11</v>
      </c>
      <c r="C28" s="19">
        <f t="shared" si="1"/>
        <v>11</v>
      </c>
      <c r="D28" s="20">
        <f t="shared" si="2"/>
        <v>45366</v>
      </c>
      <c r="E28" s="23">
        <f t="shared" si="0"/>
        <v>29</v>
      </c>
      <c r="F28" s="17">
        <f>IF(C27=$F$11,SUM($F$18:F27),IF(C28=B28,IF(C28=$F$11,I27,ROUND(H28-G28,2)),""))</f>
        <v>61234.82</v>
      </c>
      <c r="G28" s="17">
        <f>IF(C27=$F$11,SUM($G$18:G27),IF(C28=B28,ROUND(((($F$13+1)^((D28-D27)/360))-1)*I27,2),""))</f>
        <v>23576.04</v>
      </c>
      <c r="H28" s="17">
        <f>IF(C27=$F$11,SUM($H$18:H27),IF(C28=B28,IF(C28=$F$11,F28+G28,ROUND($I$17/VLOOKUP("Totales",$D$18:$K$117,8,FALSE),2)),""))</f>
        <v>84810.86</v>
      </c>
      <c r="I28" s="17">
        <f t="shared" si="3"/>
        <v>2365840.48</v>
      </c>
      <c r="J28" s="24"/>
      <c r="K28" s="25">
        <f>IF(C27=$F$11,SUM($K$18:K27),IF(C28=B28,1/((1+$F$14)^SUM($E$18:E28)),""))</f>
        <v>0.89613050957617524</v>
      </c>
      <c r="L28" s="26"/>
    </row>
    <row r="29" spans="2:13" x14ac:dyDescent="0.25">
      <c r="B29" s="18">
        <v>12</v>
      </c>
      <c r="C29" s="19">
        <f t="shared" si="1"/>
        <v>12</v>
      </c>
      <c r="D29" s="20">
        <f t="shared" si="2"/>
        <v>45397</v>
      </c>
      <c r="E29" s="23">
        <f t="shared" si="0"/>
        <v>31</v>
      </c>
      <c r="F29" s="17">
        <f>IF(C28=$F$11,SUM($F$18:F28),IF(C29=B29,IF(C29=$F$11,I28,ROUND(H29-G29,2)),""))</f>
        <v>60236.52</v>
      </c>
      <c r="G29" s="17">
        <f>IF(C28=$F$11,SUM($G$18:G28),IF(C29=B29,ROUND(((($F$13+1)^((D29-D28)/360))-1)*I28,2),""))</f>
        <v>24574.34</v>
      </c>
      <c r="H29" s="17">
        <f>IF(C28=$F$11,SUM($H$18:H28),IF(C29=B29,IF(C29=$F$11,F29+G29,ROUND($I$17/VLOOKUP("Totales",$D$18:$K$117,8,FALSE),2)),""))</f>
        <v>84810.86</v>
      </c>
      <c r="I29" s="17">
        <f t="shared" si="3"/>
        <v>2305603.96</v>
      </c>
      <c r="J29" s="24"/>
      <c r="K29" s="25">
        <f>IF(C28=$F$11,SUM($K$18:K28),IF(C29=B29,1/((1+$F$14)^SUM($E$18:E29)),""))</f>
        <v>0.88691796008866541</v>
      </c>
      <c r="L29" s="26"/>
    </row>
    <row r="30" spans="2:13" x14ac:dyDescent="0.25">
      <c r="B30" s="18">
        <v>13</v>
      </c>
      <c r="C30" s="19">
        <f t="shared" si="1"/>
        <v>13</v>
      </c>
      <c r="D30" s="20">
        <f t="shared" si="2"/>
        <v>45427</v>
      </c>
      <c r="E30" s="23">
        <f t="shared" si="0"/>
        <v>30</v>
      </c>
      <c r="F30" s="17">
        <f>IF(C29=$F$11,SUM($F$18:F29),IF(C30=B30,IF(C30=$F$11,I29,ROUND(H30-G30,2)),""))</f>
        <v>61638.61</v>
      </c>
      <c r="G30" s="17">
        <f>IF(C29=$F$11,SUM($G$18:G29),IF(C30=B30,ROUND(((($F$13+1)^((D30-D29)/360))-1)*I29,2),""))</f>
        <v>23172.25</v>
      </c>
      <c r="H30" s="17">
        <f>IF(C29=$F$11,SUM($H$18:H29),IF(C30=B30,IF(C30=$F$11,F30+G30,ROUND($I$17/VLOOKUP("Totales",$D$18:$K$117,8,FALSE),2)),""))</f>
        <v>84810.86</v>
      </c>
      <c r="I30" s="17">
        <f t="shared" si="3"/>
        <v>2243965.35</v>
      </c>
      <c r="J30" s="24"/>
      <c r="K30" s="25">
        <f>IF(C29=$F$11,SUM($K$18:K29),IF(C30=B30,1/((1+$F$14)^SUM($E$18:E30)),""))</f>
        <v>0.87809277460310831</v>
      </c>
      <c r="L30" s="26"/>
    </row>
    <row r="31" spans="2:13" x14ac:dyDescent="0.25">
      <c r="B31" s="18">
        <v>14</v>
      </c>
      <c r="C31" s="19">
        <f t="shared" si="1"/>
        <v>14</v>
      </c>
      <c r="D31" s="20">
        <f t="shared" si="2"/>
        <v>45458</v>
      </c>
      <c r="E31" s="23">
        <f t="shared" si="0"/>
        <v>31</v>
      </c>
      <c r="F31" s="17">
        <f>IF(C30=$F$11,SUM($F$18:F30),IF(C31=B31,IF(C31=$F$11,I30,ROUND(H31-G31,2)),""))</f>
        <v>61502.46</v>
      </c>
      <c r="G31" s="17">
        <f>IF(C30=$F$11,SUM($G$18:G30),IF(C31=B31,ROUND(((($F$13+1)^((D31-D30)/360))-1)*I30,2),""))</f>
        <v>23308.400000000001</v>
      </c>
      <c r="H31" s="17">
        <f>IF(C30=$F$11,SUM($H$18:H30),IF(C31=B31,IF(C31=$F$11,F31+G31,ROUND($I$17/VLOOKUP("Totales",$D$18:$K$117,8,FALSE),2)),""))</f>
        <v>84810.86</v>
      </c>
      <c r="I31" s="17">
        <f t="shared" si="3"/>
        <v>2182462.89</v>
      </c>
      <c r="J31" s="24"/>
      <c r="K31" s="25">
        <f>IF(C30=$F$11,SUM($K$18:K30),IF(C31=B31,1/((1+$F$14)^SUM($E$18:E31)),""))</f>
        <v>0.8690656596302212</v>
      </c>
      <c r="L31" s="26"/>
    </row>
    <row r="32" spans="2:13" x14ac:dyDescent="0.25">
      <c r="B32" s="18">
        <v>15</v>
      </c>
      <c r="C32" s="19">
        <f t="shared" si="1"/>
        <v>15</v>
      </c>
      <c r="D32" s="20">
        <f t="shared" si="2"/>
        <v>45488</v>
      </c>
      <c r="E32" s="23">
        <f t="shared" si="0"/>
        <v>30</v>
      </c>
      <c r="F32" s="17">
        <f>IF(C31=$F$11,SUM($F$18:F31),IF(C32=B32,IF(C32=$F$11,I31,ROUND(H32-G32,2)),""))</f>
        <v>62876.23</v>
      </c>
      <c r="G32" s="17">
        <f>IF(C31=$F$11,SUM($G$18:G31),IF(C32=B32,ROUND(((($F$13+1)^((D32-D31)/360))-1)*I31,2),""))</f>
        <v>21934.63</v>
      </c>
      <c r="H32" s="17">
        <f>IF(C31=$F$11,SUM($H$18:H31),IF(C32=B32,IF(C32=$F$11,F32+G32,ROUND($I$17/VLOOKUP("Totales",$D$18:$K$117,8,FALSE),2)),""))</f>
        <v>84810.86</v>
      </c>
      <c r="I32" s="17">
        <f t="shared" si="3"/>
        <v>2119586.66</v>
      </c>
      <c r="J32" s="17"/>
      <c r="K32" s="25">
        <f>IF(C31=$F$11,SUM($K$18:K31),IF(C32=B32,1/((1+$F$14)^SUM($E$18:E32)),""))</f>
        <v>0.86041811161507176</v>
      </c>
    </row>
    <row r="33" spans="2:11" x14ac:dyDescent="0.25">
      <c r="B33" s="18">
        <v>16</v>
      </c>
      <c r="C33" s="19">
        <f t="shared" si="1"/>
        <v>16</v>
      </c>
      <c r="D33" s="20">
        <f t="shared" si="2"/>
        <v>45519</v>
      </c>
      <c r="E33" s="23">
        <f t="shared" si="0"/>
        <v>31</v>
      </c>
      <c r="F33" s="17">
        <f>IF(C32=$F$11,SUM($F$18:F32),IF(C33=B33,IF(C33=$F$11,I32,ROUND(H33-G33,2)),""))</f>
        <v>62794.400000000001</v>
      </c>
      <c r="G33" s="17">
        <f>IF(C32=$F$11,SUM($G$18:G32),IF(C33=B33,ROUND(((($F$13+1)^((D33-D32)/360))-1)*I32,2),""))</f>
        <v>22016.46</v>
      </c>
      <c r="H33" s="17">
        <f>IF(C32=$F$11,SUM($H$18:H32),IF(C33=B33,IF(C33=$F$11,F33+G33,ROUND($I$17/VLOOKUP("Totales",$D$18:$K$117,8,FALSE),2)),""))</f>
        <v>84810.86</v>
      </c>
      <c r="I33" s="17">
        <f t="shared" si="3"/>
        <v>2056792.26</v>
      </c>
      <c r="J33" s="17"/>
      <c r="K33" s="25">
        <f>IF(C32=$F$11,SUM($K$18:K32),IF(C33=B33,1/((1+$F$14)^SUM($E$18:E33)),""))</f>
        <v>0.85157269864397189</v>
      </c>
    </row>
    <row r="34" spans="2:11" x14ac:dyDescent="0.25">
      <c r="B34" s="18">
        <v>17</v>
      </c>
      <c r="C34" s="19">
        <f t="shared" si="1"/>
        <v>17</v>
      </c>
      <c r="D34" s="20">
        <f t="shared" si="2"/>
        <v>45550</v>
      </c>
      <c r="E34" s="23">
        <f t="shared" si="0"/>
        <v>31</v>
      </c>
      <c r="F34" s="17">
        <f>IF(C33=$F$11,SUM($F$18:F33),IF(C34=B34,IF(C34=$F$11,I33,ROUND(H34-G34,2)),""))</f>
        <v>63446.65</v>
      </c>
      <c r="G34" s="17">
        <f>IF(C33=$F$11,SUM($G$18:G33),IF(C34=B34,ROUND(((($F$13+1)^((D34-D33)/360))-1)*I33,2),""))</f>
        <v>21364.21</v>
      </c>
      <c r="H34" s="17">
        <f>IF(C33=$F$11,SUM($H$18:H33),IF(C34=B34,IF(C34=$F$11,F34+G34,ROUND($I$17/VLOOKUP("Totales",$D$18:$K$117,8,FALSE),2)),""))</f>
        <v>84810.86</v>
      </c>
      <c r="I34" s="17">
        <f t="shared" si="3"/>
        <v>1993345.61</v>
      </c>
      <c r="J34" s="17"/>
      <c r="K34" s="25">
        <f>IF(C33=$F$11,SUM($K$18:K33),IF(C34=B34,1/((1+$F$14)^SUM($E$18:E34)),""))</f>
        <v>0.84281821975430626</v>
      </c>
    </row>
    <row r="35" spans="2:11" x14ac:dyDescent="0.25">
      <c r="B35" s="18">
        <v>18</v>
      </c>
      <c r="C35" s="19">
        <f t="shared" si="1"/>
        <v>18</v>
      </c>
      <c r="D35" s="20">
        <f t="shared" si="2"/>
        <v>45580</v>
      </c>
      <c r="E35" s="23">
        <f t="shared" si="0"/>
        <v>30</v>
      </c>
      <c r="F35" s="17">
        <f>IF(C34=$F$11,SUM($F$18:F34),IF(C35=B35,IF(C35=$F$11,I34,ROUND(H35-G35,2)),""))</f>
        <v>64776.94</v>
      </c>
      <c r="G35" s="17">
        <f>IF(C34=$F$11,SUM($G$18:G34),IF(C35=B35,ROUND(((($F$13+1)^((D35-D34)/360))-1)*I34,2),""))</f>
        <v>20033.919999999998</v>
      </c>
      <c r="H35" s="17">
        <f>IF(C34=$F$11,SUM($H$18:H34),IF(C35=B35,IF(C35=$F$11,F35+G35,ROUND($I$17/VLOOKUP("Totales",$D$18:$K$117,8,FALSE),2)),""))</f>
        <v>84810.86</v>
      </c>
      <c r="I35" s="17">
        <f t="shared" si="3"/>
        <v>1928568.67</v>
      </c>
      <c r="J35" s="17"/>
      <c r="K35" s="25">
        <f>IF(C34=$F$11,SUM($K$18:K34),IF(C35=B35,1/((1+$F$14)^SUM($E$18:E35)),""))</f>
        <v>0.83443184417657457</v>
      </c>
    </row>
    <row r="36" spans="2:11" x14ac:dyDescent="0.25">
      <c r="B36" s="18">
        <v>19</v>
      </c>
      <c r="C36" s="19">
        <f t="shared" si="1"/>
        <v>19</v>
      </c>
      <c r="D36" s="20">
        <f t="shared" si="2"/>
        <v>45611</v>
      </c>
      <c r="E36" s="23">
        <f t="shared" si="0"/>
        <v>31</v>
      </c>
      <c r="F36" s="17">
        <f>IF(C35=$F$11,SUM($F$18:F35),IF(C36=B36,IF(C36=$F$11,I35,ROUND(H36-G36,2)),""))</f>
        <v>64778.53</v>
      </c>
      <c r="G36" s="17">
        <f>IF(C35=$F$11,SUM($G$18:G35),IF(C36=B36,ROUND(((($F$13+1)^((D36-D35)/360))-1)*I35,2),""))</f>
        <v>20032.330000000002</v>
      </c>
      <c r="H36" s="17">
        <f>IF(C35=$F$11,SUM($H$18:H35),IF(C36=B36,IF(C36=$F$11,F36+G36,ROUND($I$17/VLOOKUP("Totales",$D$18:$K$117,8,FALSE),2)),""))</f>
        <v>84810.86</v>
      </c>
      <c r="I36" s="17">
        <f t="shared" si="3"/>
        <v>1863790.14</v>
      </c>
      <c r="J36" s="17"/>
      <c r="K36" s="25">
        <f>IF(C35=$F$11,SUM($K$18:K35),IF(C36=B36,1/((1+$F$14)^SUM($E$18:E36)),""))</f>
        <v>0.82585357954181005</v>
      </c>
    </row>
    <row r="37" spans="2:11" x14ac:dyDescent="0.25">
      <c r="B37" s="18">
        <v>20</v>
      </c>
      <c r="C37" s="19">
        <f t="shared" si="1"/>
        <v>20</v>
      </c>
      <c r="D37" s="20">
        <f t="shared" si="2"/>
        <v>45641</v>
      </c>
      <c r="E37" s="23">
        <f t="shared" si="0"/>
        <v>30</v>
      </c>
      <c r="F37" s="17">
        <f>IF(C36=$F$11,SUM($F$18:F36),IF(C37=B37,IF(C37=$F$11,I36,ROUND(H37-G37,2)),""))</f>
        <v>66079.02</v>
      </c>
      <c r="G37" s="17">
        <f>IF(C36=$F$11,SUM($G$18:G36),IF(C37=B37,ROUND(((($F$13+1)^((D37-D36)/360))-1)*I36,2),""))</f>
        <v>18731.84</v>
      </c>
      <c r="H37" s="17">
        <f>IF(C36=$F$11,SUM($H$18:H36),IF(C37=B37,IF(C37=$F$11,F37+G37,ROUND($I$17/VLOOKUP("Totales",$D$18:$K$117,8,FALSE),2)),""))</f>
        <v>84810.86</v>
      </c>
      <c r="I37" s="17">
        <f t="shared" si="3"/>
        <v>1797711.12</v>
      </c>
      <c r="J37" s="17"/>
      <c r="K37" s="25">
        <f>IF(C36=$F$11,SUM($K$18:K36),IF(C37=B37,1/((1+$F$14)^SUM($E$18:E37)),""))</f>
        <v>0.8176360088629625</v>
      </c>
    </row>
    <row r="38" spans="2:11" x14ac:dyDescent="0.25">
      <c r="B38" s="18">
        <v>21</v>
      </c>
      <c r="C38" s="19">
        <f t="shared" si="1"/>
        <v>21</v>
      </c>
      <c r="D38" s="20">
        <f t="shared" si="2"/>
        <v>45672</v>
      </c>
      <c r="E38" s="23">
        <f t="shared" si="0"/>
        <v>31</v>
      </c>
      <c r="F38" s="17">
        <f>IF(C37=$F$11,SUM($F$18:F37),IF(C38=B38,IF(C38=$F$11,I37,ROUND(H38-G38,2)),""))</f>
        <v>66137.77</v>
      </c>
      <c r="G38" s="17">
        <f>IF(C37=$F$11,SUM($G$18:G37),IF(C38=B38,ROUND(((($F$13+1)^((D38-D37)/360))-1)*I37,2),""))</f>
        <v>18673.09</v>
      </c>
      <c r="H38" s="17">
        <f>IF(C37=$F$11,SUM($H$18:H37),IF(C38=B38,IF(C38=$F$11,F38+G38,ROUND($I$17/VLOOKUP("Totales",$D$18:$K$117,8,FALSE),2)),""))</f>
        <v>84810.86</v>
      </c>
      <c r="I38" s="17">
        <f t="shared" si="3"/>
        <v>1731573.35</v>
      </c>
      <c r="J38" s="17"/>
      <c r="K38" s="25">
        <f>IF(C37=$F$11,SUM($K$18:K37),IF(C38=B38,1/((1+$F$14)^SUM($E$18:E38)),""))</f>
        <v>0.80923041155997311</v>
      </c>
    </row>
    <row r="39" spans="2:11" x14ac:dyDescent="0.25">
      <c r="B39" s="18">
        <v>22</v>
      </c>
      <c r="C39" s="19">
        <f t="shared" si="1"/>
        <v>22</v>
      </c>
      <c r="D39" s="20">
        <f t="shared" si="2"/>
        <v>45703</v>
      </c>
      <c r="E39" s="23">
        <f t="shared" si="0"/>
        <v>31</v>
      </c>
      <c r="F39" s="17">
        <f>IF(C38=$F$11,SUM($F$18:F38),IF(C39=B39,IF(C39=$F$11,I38,ROUND(H39-G39,2)),""))</f>
        <v>66824.75</v>
      </c>
      <c r="G39" s="17">
        <f>IF(C38=$F$11,SUM($G$18:G38),IF(C39=B39,ROUND(((($F$13+1)^((D39-D38)/360))-1)*I38,2),""))</f>
        <v>17986.11</v>
      </c>
      <c r="H39" s="17">
        <f>IF(C38=$F$11,SUM($H$18:H38),IF(C39=B39,IF(C39=$F$11,F39+G39,ROUND($I$17/VLOOKUP("Totales",$D$18:$K$117,8,FALSE),2)),""))</f>
        <v>84810.86</v>
      </c>
      <c r="I39" s="17">
        <f t="shared" si="3"/>
        <v>1664748.6</v>
      </c>
      <c r="J39" s="17"/>
      <c r="K39" s="25">
        <f>IF(C38=$F$11,SUM($K$18:K38),IF(C39=B39,1/((1+$F$14)^SUM($E$18:E39)),""))</f>
        <v>0.80091122687244332</v>
      </c>
    </row>
    <row r="40" spans="2:11" x14ac:dyDescent="0.25">
      <c r="B40" s="18">
        <v>23</v>
      </c>
      <c r="C40" s="19">
        <f t="shared" si="1"/>
        <v>23</v>
      </c>
      <c r="D40" s="20">
        <f t="shared" si="2"/>
        <v>45731</v>
      </c>
      <c r="E40" s="23">
        <f t="shared" si="0"/>
        <v>28</v>
      </c>
      <c r="F40" s="17">
        <f>IF(C39=$F$11,SUM($F$18:F39),IF(C40=B40,IF(C40=$F$11,I39,ROUND(H40-G40,2)),""))</f>
        <v>69200.11</v>
      </c>
      <c r="G40" s="17">
        <f>IF(C39=$F$11,SUM($G$18:G39),IF(C40=B40,ROUND(((($F$13+1)^((D40-D39)/360))-1)*I39,2),""))</f>
        <v>15610.75</v>
      </c>
      <c r="H40" s="17">
        <f>IF(C39=$F$11,SUM($H$18:H39),IF(C40=B40,IF(C40=$F$11,F40+G40,ROUND($I$17/VLOOKUP("Totales",$D$18:$K$117,8,FALSE),2)),""))</f>
        <v>84810.86</v>
      </c>
      <c r="I40" s="17">
        <f t="shared" si="3"/>
        <v>1595548.49</v>
      </c>
      <c r="J40" s="17"/>
      <c r="K40" s="25">
        <f>IF(C39=$F$11,SUM($K$18:K39),IF(C40=B40,1/((1+$F$14)^SUM($E$18:E40)),""))</f>
        <v>0.79347065894847646</v>
      </c>
    </row>
    <row r="41" spans="2:11" x14ac:dyDescent="0.25">
      <c r="B41" s="18">
        <v>24</v>
      </c>
      <c r="C41" s="19">
        <f t="shared" si="1"/>
        <v>24</v>
      </c>
      <c r="D41" s="20">
        <f t="shared" si="2"/>
        <v>45762</v>
      </c>
      <c r="E41" s="23">
        <f t="shared" si="0"/>
        <v>31</v>
      </c>
      <c r="F41" s="17">
        <f>IF(C40=$F$11,SUM($F$18:F40),IF(C41=B41,IF(C41=$F$11,I40,ROUND(H41-G41,2)),""))</f>
        <v>68237.66</v>
      </c>
      <c r="G41" s="17">
        <f>IF(C40=$F$11,SUM($G$18:G40),IF(C41=B41,ROUND(((($F$13+1)^((D41-D40)/360))-1)*I40,2),""))</f>
        <v>16573.2</v>
      </c>
      <c r="H41" s="17">
        <f>IF(C40=$F$11,SUM($H$18:H40),IF(C41=B41,IF(C41=$F$11,F41+G41,ROUND($I$17/VLOOKUP("Totales",$D$18:$K$117,8,FALSE),2)),""))</f>
        <v>84810.86</v>
      </c>
      <c r="I41" s="17">
        <f t="shared" si="3"/>
        <v>1527310.83</v>
      </c>
      <c r="J41" s="17"/>
      <c r="K41" s="25">
        <f>IF(C40=$F$11,SUM($K$18:K40),IF(C41=B41,1/((1+$F$14)^SUM($E$18:E41)),""))</f>
        <v>0.78531349028349351</v>
      </c>
    </row>
    <row r="42" spans="2:11" x14ac:dyDescent="0.25">
      <c r="B42" s="18">
        <v>25</v>
      </c>
      <c r="C42" s="19">
        <f t="shared" si="1"/>
        <v>25</v>
      </c>
      <c r="D42" s="20">
        <f t="shared" si="2"/>
        <v>45792</v>
      </c>
      <c r="E42" s="23">
        <f t="shared" si="0"/>
        <v>30</v>
      </c>
      <c r="F42" s="17">
        <f>IF(C41=$F$11,SUM($F$18:F41),IF(C42=B42,IF(C42=$F$11,I41,ROUND(H42-G42,2)),""))</f>
        <v>69460.77</v>
      </c>
      <c r="G42" s="17">
        <f>IF(C41=$F$11,SUM($G$18:G41),IF(C42=B42,ROUND(((($F$13+1)^((D42-D41)/360))-1)*I41,2),""))</f>
        <v>15350.09</v>
      </c>
      <c r="H42" s="17">
        <f>IF(C41=$F$11,SUM($H$18:H41),IF(C42=B42,IF(C42=$F$11,F42+G42,ROUND($I$17/VLOOKUP("Totales",$D$18:$K$117,8,FALSE),2)),""))</f>
        <v>84810.86</v>
      </c>
      <c r="I42" s="17">
        <f t="shared" si="3"/>
        <v>1457850.06</v>
      </c>
      <c r="J42" s="17"/>
      <c r="K42" s="25">
        <f>IF(C41=$F$11,SUM($K$18:K41),IF(C42=B42,1/((1+$F$14)^SUM($E$18:E42)),""))</f>
        <v>0.77749930957238289</v>
      </c>
    </row>
    <row r="43" spans="2:11" x14ac:dyDescent="0.25">
      <c r="B43" s="18">
        <v>26</v>
      </c>
      <c r="C43" s="19">
        <f t="shared" si="1"/>
        <v>26</v>
      </c>
      <c r="D43" s="20">
        <f t="shared" si="2"/>
        <v>45823</v>
      </c>
      <c r="E43" s="23">
        <f t="shared" si="0"/>
        <v>31</v>
      </c>
      <c r="F43" s="17">
        <f>IF(C42=$F$11,SUM($F$18:F42),IF(C43=B43,IF(C43=$F$11,I42,ROUND(H43-G43,2)),""))</f>
        <v>69667.95</v>
      </c>
      <c r="G43" s="17">
        <f>IF(C42=$F$11,SUM($G$18:G42),IF(C43=B43,ROUND(((($F$13+1)^((D43-D42)/360))-1)*I42,2),""))</f>
        <v>15142.91</v>
      </c>
      <c r="H43" s="17">
        <f>IF(C42=$F$11,SUM($H$18:H42),IF(C43=B43,IF(C43=$F$11,F43+G43,ROUND($I$17/VLOOKUP("Totales",$D$18:$K$117,8,FALSE),2)),""))</f>
        <v>84810.86</v>
      </c>
      <c r="I43" s="17">
        <f t="shared" si="3"/>
        <v>1388182.11</v>
      </c>
      <c r="J43" s="17"/>
      <c r="K43" s="25">
        <f>IF(C42=$F$11,SUM($K$18:K42),IF(C43=B43,1/((1+$F$14)^SUM($E$18:E43)),""))</f>
        <v>0.76950633222209963</v>
      </c>
    </row>
    <row r="44" spans="2:11" x14ac:dyDescent="0.25">
      <c r="B44" s="18">
        <v>27</v>
      </c>
      <c r="C44" s="19">
        <f t="shared" si="1"/>
        <v>27</v>
      </c>
      <c r="D44" s="20">
        <f t="shared" si="2"/>
        <v>45853</v>
      </c>
      <c r="E44" s="23">
        <f t="shared" si="0"/>
        <v>30</v>
      </c>
      <c r="F44" s="17">
        <f>IF(C43=$F$11,SUM($F$18:F43),IF(C44=B44,IF(C44=$F$11,I43,ROUND(H44-G44,2)),""))</f>
        <v>70859.070000000007</v>
      </c>
      <c r="G44" s="17">
        <f>IF(C43=$F$11,SUM($G$18:G43),IF(C44=B44,ROUND(((($F$13+1)^((D44-D43)/360))-1)*I43,2),""))</f>
        <v>13951.79</v>
      </c>
      <c r="H44" s="17">
        <f>IF(C43=$F$11,SUM($H$18:H43),IF(C44=B44,IF(C44=$F$11,F44+G44,ROUND($I$17/VLOOKUP("Totales",$D$18:$K$117,8,FALSE),2)),""))</f>
        <v>84810.86</v>
      </c>
      <c r="I44" s="17">
        <f t="shared" si="3"/>
        <v>1317323.04</v>
      </c>
      <c r="J44" s="17"/>
      <c r="K44" s="25">
        <f>IF(C43=$F$11,SUM($K$18:K43),IF(C44=B44,1/((1+$F$14)^SUM($E$18:E44)),""))</f>
        <v>0.76184943900337143</v>
      </c>
    </row>
    <row r="45" spans="2:11" x14ac:dyDescent="0.25">
      <c r="B45" s="18">
        <v>28</v>
      </c>
      <c r="C45" s="19">
        <f t="shared" si="1"/>
        <v>28</v>
      </c>
      <c r="D45" s="20">
        <f t="shared" si="2"/>
        <v>45884</v>
      </c>
      <c r="E45" s="23">
        <f t="shared" si="0"/>
        <v>31</v>
      </c>
      <c r="F45" s="17">
        <f>IF(C44=$F$11,SUM($F$18:F44),IF(C45=B45,IF(C45=$F$11,I44,ROUND(H45-G45,2)),""))</f>
        <v>71127.63</v>
      </c>
      <c r="G45" s="17">
        <f>IF(C44=$F$11,SUM($G$18:G44),IF(C45=B45,ROUND(((($F$13+1)^((D45-D44)/360))-1)*I44,2),""))</f>
        <v>13683.23</v>
      </c>
      <c r="H45" s="17">
        <f>IF(C44=$F$11,SUM($H$18:H44),IF(C45=B45,IF(C45=$F$11,F45+G45,ROUND($I$17/VLOOKUP("Totales",$D$18:$K$117,8,FALSE),2)),""))</f>
        <v>84810.86</v>
      </c>
      <c r="I45" s="17">
        <f t="shared" si="3"/>
        <v>1246195.4099999999</v>
      </c>
      <c r="J45" s="17"/>
      <c r="K45" s="25">
        <f>IF(C44=$F$11,SUM($K$18:K44),IF(C45=B45,1/((1+$F$14)^SUM($E$18:E45)),""))</f>
        <v>0.75401734804803766</v>
      </c>
    </row>
    <row r="46" spans="2:11" x14ac:dyDescent="0.25">
      <c r="B46" s="18">
        <v>29</v>
      </c>
      <c r="C46" s="19">
        <f t="shared" si="1"/>
        <v>29</v>
      </c>
      <c r="D46" s="20">
        <f t="shared" si="2"/>
        <v>45915</v>
      </c>
      <c r="E46" s="23">
        <f t="shared" si="0"/>
        <v>31</v>
      </c>
      <c r="F46" s="17">
        <f>IF(C45=$F$11,SUM($F$18:F45),IF(C46=B46,IF(C46=$F$11,I45,ROUND(H46-G46,2)),""))</f>
        <v>71866.44</v>
      </c>
      <c r="G46" s="17">
        <f>IF(C45=$F$11,SUM($G$18:G45),IF(C46=B46,ROUND(((($F$13+1)^((D46-D45)/360))-1)*I45,2),""))</f>
        <v>12944.42</v>
      </c>
      <c r="H46" s="17">
        <f>IF(C45=$F$11,SUM($H$18:H45),IF(C46=B46,IF(C46=$F$11,F46+G46,ROUND($I$17/VLOOKUP("Totales",$D$18:$K$117,8,FALSE),2)),""))</f>
        <v>84810.86</v>
      </c>
      <c r="I46" s="17">
        <f t="shared" si="3"/>
        <v>1174328.97</v>
      </c>
      <c r="J46" s="17"/>
      <c r="K46" s="25">
        <f>IF(C45=$F$11,SUM($K$18:K45),IF(C46=B46,1/((1+$F$14)^SUM($E$18:E46)),""))</f>
        <v>0.74626577385309278</v>
      </c>
    </row>
    <row r="47" spans="2:11" x14ac:dyDescent="0.25">
      <c r="B47" s="18">
        <v>30</v>
      </c>
      <c r="C47" s="19">
        <f t="shared" si="1"/>
        <v>30</v>
      </c>
      <c r="D47" s="20">
        <f t="shared" si="2"/>
        <v>45945</v>
      </c>
      <c r="E47" s="23">
        <f t="shared" si="0"/>
        <v>30</v>
      </c>
      <c r="F47" s="17">
        <f>IF(C46=$F$11,SUM($F$18:F46),IF(C47=B47,IF(C47=$F$11,I46,ROUND(H47-G47,2)),""))</f>
        <v>73008.38</v>
      </c>
      <c r="G47" s="17">
        <f>IF(C46=$F$11,SUM($G$18:G46),IF(C47=B47,ROUND(((($F$13+1)^((D47-D46)/360))-1)*I46,2),""))</f>
        <v>11802.48</v>
      </c>
      <c r="H47" s="17">
        <f>IF(C46=$F$11,SUM($H$18:H46),IF(C47=B47,IF(C47=$F$11,F47+G47,ROUND($I$17/VLOOKUP("Totales",$D$18:$K$117,8,FALSE),2)),""))</f>
        <v>84810.86</v>
      </c>
      <c r="I47" s="17">
        <f t="shared" si="3"/>
        <v>1101320.5900000001</v>
      </c>
      <c r="J47" s="17"/>
      <c r="K47" s="25">
        <f>IF(C46=$F$11,SUM($K$18:K46),IF(C47=B47,1/((1+$F$14)^SUM($E$18:E47)),""))</f>
        <v>0.73884013340815458</v>
      </c>
    </row>
    <row r="48" spans="2:11" x14ac:dyDescent="0.25">
      <c r="B48" s="18">
        <v>31</v>
      </c>
      <c r="C48" s="19">
        <f t="shared" si="1"/>
        <v>31</v>
      </c>
      <c r="D48" s="20">
        <f t="shared" si="2"/>
        <v>45976</v>
      </c>
      <c r="E48" s="23">
        <f t="shared" si="0"/>
        <v>31</v>
      </c>
      <c r="F48" s="17">
        <f>IF(C47=$F$11,SUM($F$18:F47),IF(C48=B48,IF(C48=$F$11,I47,ROUND(H48-G48,2)),""))</f>
        <v>73371.28</v>
      </c>
      <c r="G48" s="17">
        <f>IF(C47=$F$11,SUM($G$18:G47),IF(C48=B48,ROUND(((($F$13+1)^((D48-D47)/360))-1)*I47,2),""))</f>
        <v>11439.58</v>
      </c>
      <c r="H48" s="17">
        <f>IF(C47=$F$11,SUM($H$18:H47),IF(C48=B48,IF(C48=$F$11,F48+G48,ROUND($I$17/VLOOKUP("Totales",$D$18:$K$117,8,FALSE),2)),""))</f>
        <v>84810.86</v>
      </c>
      <c r="I48" s="17">
        <f t="shared" si="3"/>
        <v>1027949.31</v>
      </c>
      <c r="J48" s="17"/>
      <c r="K48" s="25">
        <f>IF(C47=$F$11,SUM($K$18:K47),IF(C48=B48,1/((1+$F$14)^SUM($E$18:E48)),""))</f>
        <v>0.73124458653228697</v>
      </c>
    </row>
    <row r="49" spans="1:11" x14ac:dyDescent="0.25">
      <c r="B49" s="18">
        <v>32</v>
      </c>
      <c r="C49" s="19">
        <f t="shared" si="1"/>
        <v>32</v>
      </c>
      <c r="D49" s="20">
        <f t="shared" si="2"/>
        <v>46006</v>
      </c>
      <c r="E49" s="23">
        <f t="shared" si="0"/>
        <v>30</v>
      </c>
      <c r="F49" s="17">
        <f>IF(C48=$F$11,SUM($F$18:F48),IF(C49=B49,IF(C49=$F$11,I48,ROUND(H49-G49,2)),""))</f>
        <v>74479.56</v>
      </c>
      <c r="G49" s="17">
        <f>IF(C48=$F$11,SUM($G$18:G48),IF(C49=B49,ROUND(((($F$13+1)^((D49-D48)/360))-1)*I48,2),""))</f>
        <v>10331.299999999999</v>
      </c>
      <c r="H49" s="17">
        <f>IF(C48=$F$11,SUM($H$18:H48),IF(C49=B49,IF(C49=$F$11,F49+G49,ROUND($I$17/VLOOKUP("Totales",$D$18:$K$117,8,FALSE),2)),""))</f>
        <v>84810.86</v>
      </c>
      <c r="I49" s="17">
        <f t="shared" si="3"/>
        <v>953469.75</v>
      </c>
      <c r="J49" s="17"/>
      <c r="K49" s="25">
        <f>IF(C48=$F$11,SUM($K$18:K48),IF(C49=B49,1/((1+$F$14)^SUM($E$18:E49)),""))</f>
        <v>0.72396841285911873</v>
      </c>
    </row>
    <row r="50" spans="1:11" x14ac:dyDescent="0.25">
      <c r="B50" s="18">
        <v>33</v>
      </c>
      <c r="C50" s="19">
        <f t="shared" si="1"/>
        <v>33</v>
      </c>
      <c r="D50" s="20">
        <f t="shared" si="2"/>
        <v>46037</v>
      </c>
      <c r="E50" s="23">
        <f t="shared" si="0"/>
        <v>31</v>
      </c>
      <c r="F50" s="17">
        <f>IF(C49=$F$11,SUM($F$18:F49),IF(C50=B50,IF(C50=$F$11,I49,ROUND(H50-G50,2)),""))</f>
        <v>74907.03</v>
      </c>
      <c r="G50" s="17">
        <f>IF(C49=$F$11,SUM($G$18:G49),IF(C50=B50,ROUND(((($F$13+1)^((D50-D49)/360))-1)*I49,2),""))</f>
        <v>9903.83</v>
      </c>
      <c r="H50" s="17">
        <f>IF(C49=$F$11,SUM($H$18:H49),IF(C50=B50,IF(C50=$F$11,F50+G50,ROUND($I$17/VLOOKUP("Totales",$D$18:$K$117,8,FALSE),2)),""))</f>
        <v>84810.86</v>
      </c>
      <c r="I50" s="17">
        <f t="shared" si="3"/>
        <v>878562.72</v>
      </c>
      <c r="J50" s="17"/>
      <c r="K50" s="25">
        <f>IF(C49=$F$11,SUM($K$18:K49),IF(C50=B50,1/((1+$F$14)^SUM($E$18:E50)),""))</f>
        <v>0.71652575271130936</v>
      </c>
    </row>
    <row r="51" spans="1:11" x14ac:dyDescent="0.25">
      <c r="B51" s="18">
        <v>34</v>
      </c>
      <c r="C51" s="19">
        <f t="shared" si="1"/>
        <v>34</v>
      </c>
      <c r="D51" s="20">
        <f t="shared" si="2"/>
        <v>46068</v>
      </c>
      <c r="E51" s="23">
        <f t="shared" si="0"/>
        <v>31</v>
      </c>
      <c r="F51" s="17">
        <f>IF(C50=$F$11,SUM($F$18:F50),IF(C51=B51,IF(C51=$F$11,I50,ROUND(H51-G51,2)),""))</f>
        <v>75685.100000000006</v>
      </c>
      <c r="G51" s="17">
        <f>IF(C50=$F$11,SUM($G$18:G50),IF(C51=B51,ROUND(((($F$13+1)^((D51-D50)/360))-1)*I50,2),""))</f>
        <v>9125.76</v>
      </c>
      <c r="H51" s="17">
        <f>IF(C50=$F$11,SUM($H$18:H50),IF(C51=B51,IF(C51=$F$11,F51+G51,ROUND($I$17/VLOOKUP("Totales",$D$18:$K$117,8,FALSE),2)),""))</f>
        <v>84810.86</v>
      </c>
      <c r="I51" s="17">
        <f t="shared" si="3"/>
        <v>802877.62</v>
      </c>
      <c r="J51" s="17"/>
      <c r="K51" s="25">
        <f>IF(C50=$F$11,SUM($K$18:K50),IF(C51=B51,1/((1+$F$14)^SUM($E$18:E51)),""))</f>
        <v>0.70915960583271476</v>
      </c>
    </row>
    <row r="52" spans="1:11" x14ac:dyDescent="0.25">
      <c r="B52" s="18">
        <v>35</v>
      </c>
      <c r="C52" s="19">
        <f t="shared" si="1"/>
        <v>35</v>
      </c>
      <c r="D52" s="20">
        <f t="shared" si="2"/>
        <v>46096</v>
      </c>
      <c r="E52" s="23">
        <f t="shared" si="0"/>
        <v>28</v>
      </c>
      <c r="F52" s="17">
        <f>IF(C51=$F$11,SUM($F$18:F51),IF(C52=B52,IF(C52=$F$11,I51,ROUND(H52-G52,2)),""))</f>
        <v>77282.080000000002</v>
      </c>
      <c r="G52" s="17">
        <f>IF(C51=$F$11,SUM($G$18:G51),IF(C52=B52,ROUND(((($F$13+1)^((D52-D51)/360))-1)*I51,2),""))</f>
        <v>7528.78</v>
      </c>
      <c r="H52" s="17">
        <f>IF(C51=$F$11,SUM($H$18:H51),IF(C52=B52,IF(C52=$F$11,F52+G52,ROUND($I$17/VLOOKUP("Totales",$D$18:$K$117,8,FALSE),2)),""))</f>
        <v>84810.86</v>
      </c>
      <c r="I52" s="17">
        <f t="shared" si="3"/>
        <v>725595.54</v>
      </c>
      <c r="J52" s="17"/>
      <c r="K52" s="25">
        <f>IF(C51=$F$11,SUM($K$18:K51),IF(C52=B52,1/((1+$F$14)^SUM($E$18:E52)),""))</f>
        <v>0.70257142222497948</v>
      </c>
    </row>
    <row r="53" spans="1:11" x14ac:dyDescent="0.25">
      <c r="B53" s="18">
        <v>36</v>
      </c>
      <c r="C53" s="19">
        <f t="shared" si="1"/>
        <v>36</v>
      </c>
      <c r="D53" s="20">
        <f t="shared" si="2"/>
        <v>46127</v>
      </c>
      <c r="E53" s="23">
        <f t="shared" si="0"/>
        <v>31</v>
      </c>
      <c r="F53" s="17">
        <f>IF(C52=$F$11,SUM($F$18:F52),IF(C53=B53,IF(C53=$F$11,I52,ROUND(H53-G53,2)),""))</f>
        <v>77273.990000000005</v>
      </c>
      <c r="G53" s="17">
        <f>IF(C52=$F$11,SUM($G$18:G52),IF(C53=B53,ROUND(((($F$13+1)^((D53-D52)/360))-1)*I52,2),""))</f>
        <v>7536.87</v>
      </c>
      <c r="H53" s="17">
        <f>IF(C52=$F$11,SUM($H$18:H52),IF(C53=B53,IF(C53=$F$11,F53+G53,ROUND($I$17/VLOOKUP("Totales",$D$18:$K$117,8,FALSE),2)),""))</f>
        <v>84810.86</v>
      </c>
      <c r="I53" s="17">
        <f t="shared" si="3"/>
        <v>648321.55000000005</v>
      </c>
      <c r="J53" s="17"/>
      <c r="K53" s="25">
        <f>IF(C52=$F$11,SUM($K$18:K52),IF(C53=B53,1/((1+$F$14)^SUM($E$18:E53)),""))</f>
        <v>0.69534873096897143</v>
      </c>
    </row>
    <row r="54" spans="1:11" x14ac:dyDescent="0.25">
      <c r="B54" s="18">
        <v>37</v>
      </c>
      <c r="C54" s="19">
        <f t="shared" si="1"/>
        <v>37</v>
      </c>
      <c r="D54" s="20">
        <f t="shared" si="2"/>
        <v>46157</v>
      </c>
      <c r="E54" s="23">
        <f t="shared" si="0"/>
        <v>30</v>
      </c>
      <c r="F54" s="17">
        <f>IF(C53=$F$11,SUM($F$18:F53),IF(C54=B54,IF(C54=$F$11,I53,ROUND(H54-G54,2)),""))</f>
        <v>78294.97</v>
      </c>
      <c r="G54" s="17">
        <f>IF(C53=$F$11,SUM($G$18:G53),IF(C54=B54,ROUND(((($F$13+1)^((D54-D53)/360))-1)*I53,2),""))</f>
        <v>6515.89</v>
      </c>
      <c r="H54" s="17">
        <f>IF(C53=$F$11,SUM($H$18:H53),IF(C54=B54,IF(C54=$F$11,F54+G54,ROUND($I$17/VLOOKUP("Totales",$D$18:$K$117,8,FALSE),2)),""))</f>
        <v>84810.86</v>
      </c>
      <c r="I54" s="17">
        <f t="shared" si="3"/>
        <v>570026.57999999996</v>
      </c>
      <c r="J54" s="17"/>
      <c r="K54" s="25">
        <f>IF(C53=$F$11,SUM($K$18:K53),IF(C54=B54,1/((1+$F$14)^SUM($E$18:E54)),""))</f>
        <v>0.68842973529620977</v>
      </c>
    </row>
    <row r="55" spans="1:11" x14ac:dyDescent="0.25">
      <c r="B55" s="18">
        <v>38</v>
      </c>
      <c r="C55" s="19">
        <f t="shared" si="1"/>
        <v>38</v>
      </c>
      <c r="D55" s="20">
        <f t="shared" si="2"/>
        <v>46188</v>
      </c>
      <c r="E55" s="23">
        <f t="shared" si="0"/>
        <v>31</v>
      </c>
      <c r="F55" s="17">
        <f>IF(C54=$F$11,SUM($F$18:F54),IF(C55=B55,IF(C55=$F$11,I54,ROUND(H55-G55,2)),""))</f>
        <v>78889.91</v>
      </c>
      <c r="G55" s="17">
        <f>IF(C54=$F$11,SUM($G$18:G54),IF(C55=B55,ROUND(((($F$13+1)^((D55-D54)/360))-1)*I54,2),""))</f>
        <v>5920.95</v>
      </c>
      <c r="H55" s="17">
        <f>IF(C54=$F$11,SUM($H$18:H54),IF(C55=B55,IF(C55=$F$11,F55+G55,ROUND($I$17/VLOOKUP("Totales",$D$18:$K$117,8,FALSE),2)),""))</f>
        <v>84810.86</v>
      </c>
      <c r="I55" s="17">
        <f t="shared" si="3"/>
        <v>491136.67</v>
      </c>
      <c r="J55" s="17"/>
      <c r="K55" s="25">
        <f>IF(C54=$F$11,SUM($K$18:K54),IF(C55=B55,1/((1+$F$14)^SUM($E$18:E55)),""))</f>
        <v>0.68135242575556121</v>
      </c>
    </row>
    <row r="56" spans="1:11" x14ac:dyDescent="0.25">
      <c r="B56" s="18">
        <v>39</v>
      </c>
      <c r="C56" s="19">
        <f t="shared" si="1"/>
        <v>39</v>
      </c>
      <c r="D56" s="20">
        <f t="shared" si="2"/>
        <v>46218</v>
      </c>
      <c r="E56" s="23">
        <f t="shared" si="0"/>
        <v>30</v>
      </c>
      <c r="F56" s="17">
        <f>IF(C55=$F$11,SUM($F$18:F55),IF(C56=B56,IF(C56=$F$11,I55,ROUND(H56-G56,2)),""))</f>
        <v>79874.740000000005</v>
      </c>
      <c r="G56" s="17">
        <f>IF(C55=$F$11,SUM($G$18:G55),IF(C56=B56,ROUND(((($F$13+1)^((D56-D55)/360))-1)*I55,2),""))</f>
        <v>4936.12</v>
      </c>
      <c r="H56" s="17">
        <f>IF(C55=$F$11,SUM($H$18:H55),IF(C56=B56,IF(C56=$F$11,F56+G56,ROUND($I$17/VLOOKUP("Totales",$D$18:$K$117,8,FALSE),2)),""))</f>
        <v>84810.86</v>
      </c>
      <c r="I56" s="17">
        <f t="shared" si="3"/>
        <v>411261.93</v>
      </c>
      <c r="J56" s="17"/>
      <c r="K56" s="25">
        <f>IF(C55=$F$11,SUM($K$18:K55),IF(C56=B56,1/((1+$F$14)^SUM($E$18:E56)),""))</f>
        <v>0.67457269887109716</v>
      </c>
    </row>
    <row r="57" spans="1:11" x14ac:dyDescent="0.25">
      <c r="B57" s="18">
        <v>40</v>
      </c>
      <c r="C57" s="19">
        <f t="shared" si="1"/>
        <v>40</v>
      </c>
      <c r="D57" s="20">
        <f t="shared" si="2"/>
        <v>46249</v>
      </c>
      <c r="E57" s="23">
        <f t="shared" si="0"/>
        <v>31</v>
      </c>
      <c r="F57" s="17">
        <f>IF(C56=$F$11,SUM($F$18:F56),IF(C57=B57,IF(C57=$F$11,I56,ROUND(H57-G57,2)),""))</f>
        <v>80539.02</v>
      </c>
      <c r="G57" s="17">
        <f>IF(C56=$F$11,SUM($G$18:G56),IF(C57=B57,ROUND(((($F$13+1)^((D57-D56)/360))-1)*I56,2),""))</f>
        <v>4271.84</v>
      </c>
      <c r="H57" s="17">
        <f>IF(C56=$F$11,SUM($H$18:H56),IF(C57=B57,IF(C57=$F$11,F57+G57,ROUND($I$17/VLOOKUP("Totales",$D$18:$K$117,8,FALSE),2)),""))</f>
        <v>84810.86</v>
      </c>
      <c r="I57" s="17">
        <f t="shared" si="3"/>
        <v>330722.90999999997</v>
      </c>
      <c r="J57" s="17"/>
      <c r="K57" s="25">
        <f>IF(C56=$F$11,SUM($K$18:K56),IF(C57=B57,1/((1+$F$14)^SUM($E$18:E57)),""))</f>
        <v>0.66763784473449117</v>
      </c>
    </row>
    <row r="58" spans="1:11" x14ac:dyDescent="0.25">
      <c r="B58" s="18">
        <v>41</v>
      </c>
      <c r="C58" s="19">
        <f t="shared" si="1"/>
        <v>41</v>
      </c>
      <c r="D58" s="20">
        <f t="shared" si="2"/>
        <v>46280</v>
      </c>
      <c r="E58" s="23">
        <f t="shared" si="0"/>
        <v>31</v>
      </c>
      <c r="F58" s="17">
        <f>IF(C57=$F$11,SUM($F$18:F57),IF(C58=B58,IF(C58=$F$11,I57,ROUND(H58-G58,2)),""))</f>
        <v>81375.59</v>
      </c>
      <c r="G58" s="17">
        <f>IF(C57=$F$11,SUM($G$18:G57),IF(C58=B58,ROUND(((($F$13+1)^((D58-D57)/360))-1)*I57,2),""))</f>
        <v>3435.27</v>
      </c>
      <c r="H58" s="17">
        <f>IF(C57=$F$11,SUM($H$18:H57),IF(C58=B58,IF(C58=$F$11,F58+G58,ROUND($I$17/VLOOKUP("Totales",$D$18:$K$117,8,FALSE),2)),""))</f>
        <v>84810.86</v>
      </c>
      <c r="I58" s="17">
        <f t="shared" si="3"/>
        <v>249347.32</v>
      </c>
      <c r="J58" s="17"/>
      <c r="K58" s="25">
        <f>IF(C57=$F$11,SUM($K$18:K57),IF(C58=B58,1/((1+$F$14)^SUM($E$18:E58)),""))</f>
        <v>0.66077428343552391</v>
      </c>
    </row>
    <row r="59" spans="1:11" x14ac:dyDescent="0.25">
      <c r="B59" s="18">
        <v>42</v>
      </c>
      <c r="C59" s="19">
        <f t="shared" si="1"/>
        <v>42</v>
      </c>
      <c r="D59" s="20">
        <f t="shared" si="2"/>
        <v>46310</v>
      </c>
      <c r="E59" s="23">
        <f t="shared" si="0"/>
        <v>30</v>
      </c>
      <c r="F59" s="17">
        <f>IF(C58=$F$11,SUM($F$18:F58),IF(C59=B59,IF(C59=$F$11,I58,ROUND(H59-G59,2)),""))</f>
        <v>82304.820000000007</v>
      </c>
      <c r="G59" s="17">
        <f>IF(C58=$F$11,SUM($G$18:G58),IF(C59=B59,ROUND(((($F$13+1)^((D59-D58)/360))-1)*I58,2),""))</f>
        <v>2506.04</v>
      </c>
      <c r="H59" s="17">
        <f>IF(C58=$F$11,SUM($H$18:H58),IF(C59=B59,IF(C59=$F$11,F59+G59,ROUND($I$17/VLOOKUP("Totales",$D$18:$K$117,8,FALSE),2)),""))</f>
        <v>84810.86</v>
      </c>
      <c r="I59" s="17">
        <f t="shared" si="3"/>
        <v>167042.5</v>
      </c>
      <c r="J59" s="17"/>
      <c r="K59" s="25">
        <f>IF(C58=$F$11,SUM($K$18:K58),IF(C59=B59,1/((1+$F$14)^SUM($E$18:E59)),""))</f>
        <v>0.65419931722915459</v>
      </c>
    </row>
    <row r="60" spans="1:11" x14ac:dyDescent="0.25">
      <c r="B60" s="18">
        <v>43</v>
      </c>
      <c r="C60" s="19">
        <f t="shared" si="1"/>
        <v>43</v>
      </c>
      <c r="D60" s="20">
        <f t="shared" si="2"/>
        <v>46341</v>
      </c>
      <c r="E60" s="23">
        <f t="shared" si="0"/>
        <v>31</v>
      </c>
      <c r="F60" s="17">
        <f>IF(C59=$F$11,SUM($F$18:F59),IF(C60=B60,IF(C60=$F$11,I59,ROUND(H60-G60,2)),""))</f>
        <v>83075.759999999995</v>
      </c>
      <c r="G60" s="17">
        <f>IF(C59=$F$11,SUM($G$18:G59),IF(C60=B60,ROUND(((($F$13+1)^((D60-D59)/360))-1)*I59,2),""))</f>
        <v>1735.1</v>
      </c>
      <c r="H60" s="17">
        <f>IF(C59=$F$11,SUM($H$18:H59),IF(C60=B60,IF(C60=$F$11,F60+G60,ROUND($I$17/VLOOKUP("Totales",$D$18:$K$117,8,FALSE),2)),""))</f>
        <v>84810.86</v>
      </c>
      <c r="I60" s="17">
        <f t="shared" si="3"/>
        <v>83966.74</v>
      </c>
      <c r="J60" s="17"/>
      <c r="K60" s="25">
        <f>IF(C59=$F$11,SUM($K$18:K59),IF(C60=B60,1/((1+$F$14)^SUM($E$18:E60)),""))</f>
        <v>0.64747390890942347</v>
      </c>
    </row>
    <row r="61" spans="1:11" x14ac:dyDescent="0.25">
      <c r="B61" s="18">
        <v>44</v>
      </c>
      <c r="C61" s="19">
        <f t="shared" si="1"/>
        <v>44</v>
      </c>
      <c r="D61" s="20">
        <f t="shared" si="2"/>
        <v>46371</v>
      </c>
      <c r="E61" s="23">
        <f t="shared" si="0"/>
        <v>30</v>
      </c>
      <c r="F61" s="17">
        <f>IF(C60=$F$11,SUM($F$18:F60),IF(C61=B61,IF(C61=$F$11,I60,ROUND(H61-G61,2)),""))</f>
        <v>83966.74</v>
      </c>
      <c r="G61" s="17">
        <f>IF(C60=$F$11,SUM($G$18:G60),IF(C61=B61,ROUND(((($F$13+1)^((D61-D60)/360))-1)*I60,2),""))</f>
        <v>843.9</v>
      </c>
      <c r="H61" s="17">
        <f>IF(C60=$F$11,SUM($H$18:H60),IF(C61=B61,IF(C61=$F$11,F61+G61,ROUND($I$17/VLOOKUP("Totales",$D$18:$K$117,8,FALSE),2)),""))</f>
        <v>84810.64</v>
      </c>
      <c r="I61" s="17">
        <f t="shared" si="3"/>
        <v>0</v>
      </c>
      <c r="J61" s="17"/>
      <c r="K61" s="25">
        <f>IF(C60=$F$11,SUM($K$18:K60),IF(C61=B61,1/((1+$F$14)^SUM($E$18:E61)),""))</f>
        <v>0.64103128670498266</v>
      </c>
    </row>
    <row r="62" spans="1:11" x14ac:dyDescent="0.25">
      <c r="B62" s="18">
        <v>45</v>
      </c>
      <c r="C62" s="19" t="str">
        <f t="shared" si="1"/>
        <v/>
      </c>
      <c r="D62" s="20" t="str">
        <f t="shared" si="2"/>
        <v>Totales</v>
      </c>
      <c r="E62" s="23" t="str">
        <f t="shared" si="0"/>
        <v/>
      </c>
      <c r="F62" s="17">
        <f>IF(C61=$F$11,SUM($F$18:F61),IF(C62=B62,IF(C62=$F$11,I61,ROUND(H62-G62,2)),""))</f>
        <v>3000000.0000000005</v>
      </c>
      <c r="G62" s="17">
        <f>IF(C61=$F$11,SUM($G$18:G61),IF(C62=B62,ROUND(((($F$13+1)^((D62-D61)/360))-1)*I61,2),""))</f>
        <v>731677.62000000011</v>
      </c>
      <c r="H62" s="17">
        <f>IF(C61=$F$11,SUM($H$18:H61),IF(C62=B62,IF(C62=$F$11,F62+G62,ROUND($I$17/VLOOKUP("Totales",$D$18:$K$117,8,FALSE),2)),""))</f>
        <v>3731677.6199999987</v>
      </c>
      <c r="I62" s="17" t="str">
        <f t="shared" si="3"/>
        <v/>
      </c>
      <c r="J62" s="27"/>
      <c r="K62" s="25">
        <f>IF(C61=$F$11,SUM($K$18:K61),IF(C62=B62,1/((1+$F$14)^SUM($E$18:E62)),""))</f>
        <v>35.372829822969614</v>
      </c>
    </row>
    <row r="63" spans="1:11" x14ac:dyDescent="0.25">
      <c r="B63" s="18">
        <v>46</v>
      </c>
      <c r="C63" s="19" t="str">
        <f t="shared" si="1"/>
        <v/>
      </c>
      <c r="D63" s="20" t="str">
        <f t="shared" si="2"/>
        <v/>
      </c>
      <c r="E63" s="23" t="str">
        <f t="shared" si="0"/>
        <v/>
      </c>
      <c r="F63" s="17" t="str">
        <f>IF(C62=$F$11,SUM($F$18:F62),IF(C63=B63,IF(C63=$F$11,I62,ROUND(H63-G63,2)),""))</f>
        <v/>
      </c>
      <c r="G63" s="17" t="str">
        <f>IF(C62=$F$11,SUM($G$18:G62),IF(C63=B63,ROUND(((($F$13+1)^((D63-D62)/360))-1)*I62,2),""))</f>
        <v/>
      </c>
      <c r="H63" s="17" t="str">
        <f>IF(C62=$F$11,SUM($H$18:H62),IF(C63=B63,IF(C63=$F$11,F63+G63,ROUND($I$17/VLOOKUP("Totales",$D$18:$K$117,8,FALSE),2)),""))</f>
        <v/>
      </c>
      <c r="I63" s="17" t="str">
        <f t="shared" si="3"/>
        <v/>
      </c>
      <c r="J63" s="27"/>
      <c r="K63" s="25" t="str">
        <f>IF(C62=$F$11,SUM($K$18:K62),IF(C63=B63,1/((1+$F$14)^SUM($E$18:E63)),""))</f>
        <v/>
      </c>
    </row>
    <row r="64" spans="1:11" x14ac:dyDescent="0.25">
      <c r="A64" s="41"/>
      <c r="B64" s="18">
        <v>47</v>
      </c>
      <c r="C64" s="19" t="str">
        <f t="shared" si="1"/>
        <v/>
      </c>
      <c r="D64" s="20" t="str">
        <f t="shared" si="2"/>
        <v/>
      </c>
      <c r="E64" s="23" t="str">
        <f>IF(C64=B64,D64-D63,"")</f>
        <v/>
      </c>
      <c r="F64" s="17" t="str">
        <f>IF(C63=$F$11,SUM($F$18:F63),IF(C64=B64,IF(C64=$F$11,I63,ROUND(H64-G64,2)),""))</f>
        <v/>
      </c>
      <c r="G64" s="17" t="str">
        <f>IF(C63=$F$11,SUM($G$18:G63),IF(C64=B64,ROUND(((($F$13+1)^((D64-D63)/360))-1)*I63,2),""))</f>
        <v/>
      </c>
      <c r="H64" s="17" t="str">
        <f>IF(C63=$F$11,SUM($H$18:H63),IF(C64=B64,IF(C64=$F$11,F64+G64,ROUND($I$17/VLOOKUP("Totales",$D$18:$K$117,8,FALSE),2)),""))</f>
        <v/>
      </c>
      <c r="I64" s="17" t="str">
        <f t="shared" si="3"/>
        <v/>
      </c>
      <c r="J64" s="28"/>
      <c r="K64" s="25" t="str">
        <f>IF(C63=$F$11,SUM($K$18:K63),IF(C64=B64,1/((1+$F$14)^SUM($E$18:E64)),""))</f>
        <v/>
      </c>
    </row>
    <row r="65" spans="1:13" x14ac:dyDescent="0.25">
      <c r="B65" s="18">
        <v>48</v>
      </c>
      <c r="C65" s="19" t="str">
        <f>IF(B65&lt;=$F$11,B65,"")</f>
        <v/>
      </c>
      <c r="D65" s="20" t="str">
        <f t="shared" si="2"/>
        <v/>
      </c>
      <c r="E65" s="23" t="str">
        <f>IF(C65=B65,D65-D64,"")</f>
        <v/>
      </c>
      <c r="F65" s="17" t="str">
        <f>IF(C64=$F$11,SUM($F$18:F64),IF(C65=B65,IF(C65=$F$11,I64,ROUND(H65-G65,2)),""))</f>
        <v/>
      </c>
      <c r="G65" s="17" t="str">
        <f>IF(C64=$F$11,SUM($G$18:G64),IF(C65=B65,ROUND(((($F$13+1)^((D65-D64)/360))-1)*I64,2),""))</f>
        <v/>
      </c>
      <c r="H65" s="17" t="str">
        <f>IF(C64=$F$11,SUM($H$18:H64),IF(C65=B65,IF(C65=$F$11,F65+G65,ROUND($I$17/VLOOKUP("Totales",$D$18:$K$117,8,FALSE),2)),""))</f>
        <v/>
      </c>
      <c r="I65" s="17" t="str">
        <f t="shared" si="3"/>
        <v/>
      </c>
      <c r="J65" s="17"/>
      <c r="K65" s="25" t="str">
        <f>IF(C64=$F$11,SUM($K$18:K64),IF(C65=B65,1/((1+$F$14)^SUM($E$18:E65)),""))</f>
        <v/>
      </c>
    </row>
    <row r="66" spans="1:13" ht="14.5" x14ac:dyDescent="0.35">
      <c r="A66"/>
      <c r="B66" s="18">
        <v>49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IF(C65=$F$11,SUM($F$18:F65),IF(C66=B66,IF(C66=$F$11,I65,ROUND(H66-G66,2)),""))</f>
        <v/>
      </c>
      <c r="G66" s="17" t="str">
        <f>IF(C65=$F$11,SUM($G$18:G65),IF(C66=B66,ROUND(((($F$13+1)^((D66-D65)/360))-1)*I65,2),""))</f>
        <v/>
      </c>
      <c r="H66" s="17" t="str">
        <f>IF(C65=$F$11,SUM($H$18:H65),IF(C66=B66,IF(C66=$F$11,F66+G66,ROUND($I$17/VLOOKUP("Totales",$D$18:$K$117,8,FALSE),2)),""))</f>
        <v/>
      </c>
      <c r="I66" s="17" t="str">
        <f t="shared" si="3"/>
        <v/>
      </c>
      <c r="J66" s="17"/>
      <c r="K66" s="25" t="str">
        <f>IF(C65=$F$11,SUM($K$18:K65),IF(C66=B66,1/((1+$F$14)^SUM($E$18:E66)),""))</f>
        <v/>
      </c>
      <c r="L66" s="17" t="s">
        <v>17</v>
      </c>
      <c r="M66" s="17"/>
    </row>
    <row r="67" spans="1:13" x14ac:dyDescent="0.25">
      <c r="B67" s="18">
        <v>50</v>
      </c>
      <c r="C67" s="19" t="str">
        <f t="shared" si="1"/>
        <v/>
      </c>
      <c r="D67" s="20" t="str">
        <f t="shared" si="2"/>
        <v/>
      </c>
      <c r="E67" s="23" t="str">
        <f>IF(C67=B67,D67-D66,"")</f>
        <v/>
      </c>
      <c r="F67" s="17" t="str">
        <f>IF(C66=$F$11,SUM($F$18:F66),IF(C67=B67,IF(C67=$F$11,I66,ROUND(H67-G67,2)),""))</f>
        <v/>
      </c>
      <c r="G67" s="17" t="str">
        <f>IF(C66=$F$11,SUM($G$18:G66),IF(C67=B67,ROUND(((($F$13+1)^((D67-D66)/360))-1)*I66,2),""))</f>
        <v/>
      </c>
      <c r="H67" s="17" t="str">
        <f>IF(C66=$F$11,SUM($H$18:H66),IF(C67=B67,IF(C67=$F$11,F67+G67,ROUND($I$17/VLOOKUP("Totales",$D$18:$K$117,8,FALSE),2)),""))</f>
        <v/>
      </c>
      <c r="I67" s="17" t="str">
        <f>IF(C67=B67,ROUND(I66-F67,2),"")</f>
        <v/>
      </c>
      <c r="J67" s="17"/>
      <c r="K67" s="25" t="str">
        <f>IF(C66=$F$11,SUM($K$18:K66),IF(C67=B67,1/((1+$F$14)^SUM($E$18:E67)),""))</f>
        <v/>
      </c>
      <c r="L67" s="17" t="s">
        <v>17</v>
      </c>
      <c r="M67" s="17"/>
    </row>
    <row r="68" spans="1:13" x14ac:dyDescent="0.25">
      <c r="B68" s="18">
        <v>51</v>
      </c>
      <c r="C68" s="19" t="str">
        <f t="shared" si="1"/>
        <v/>
      </c>
      <c r="D68" s="20" t="str">
        <f t="shared" si="2"/>
        <v/>
      </c>
      <c r="E68" s="23" t="str">
        <f t="shared" ref="E68:E117" si="4">IF(C68=B68,D68-D67,"")</f>
        <v/>
      </c>
      <c r="F68" s="17" t="str">
        <f>IF(C67=$F$11,SUM($F$18:F67),IF(C68=B68,IF(C68=$F$11,I67,ROUND(H68-G68,2)),""))</f>
        <v/>
      </c>
      <c r="G68" s="17" t="str">
        <f>IF(C67=$F$11,SUM($G$18:G67),IF(C68=B68,ROUND(((($F$13+1)^((D68-D67)/360))-1)*I67,2),""))</f>
        <v/>
      </c>
      <c r="H68" s="17" t="str">
        <f>IF(C67=$F$11,SUM($H$18:H67),IF(C68=B68,IF(C68=$F$11,F68+G68,ROUND($I$17/VLOOKUP("Totales",$D$18:$K$117,8,FALSE),2)),""))</f>
        <v/>
      </c>
      <c r="I68" s="17" t="str">
        <f t="shared" ref="I68:I117" si="5">IF(C68=B68,ROUND(I67-F68,2),"")</f>
        <v/>
      </c>
      <c r="J68" s="17"/>
      <c r="K68" s="25" t="str">
        <f>IF(C67=$F$11,SUM($K$18:K67),IF(C68=B68,1/((1+$F$14)^SUM($E$18:E68)),""))</f>
        <v/>
      </c>
      <c r="L68" s="17" t="s">
        <v>17</v>
      </c>
      <c r="M68" s="17"/>
    </row>
    <row r="69" spans="1:13" x14ac:dyDescent="0.25">
      <c r="B69" s="18">
        <v>52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IF(C68=$F$11,SUM($F$18:F68),IF(C69=B69,IF(C69=$F$11,I68,ROUND(H69-G69,2)),""))</f>
        <v/>
      </c>
      <c r="G69" s="17" t="str">
        <f>IF(C68=$F$11,SUM($G$18:G68),IF(C69=B69,ROUND(((($F$13+1)^((D69-D68)/360))-1)*I68,2),""))</f>
        <v/>
      </c>
      <c r="H69" s="17" t="str">
        <f>IF(C68=$F$11,SUM($H$18:H68),IF(C69=B69,IF(C69=$F$11,F69+G69,ROUND($I$17/VLOOKUP("Totales",$D$18:$K$117,8,FALSE),2)),""))</f>
        <v/>
      </c>
      <c r="I69" s="17" t="str">
        <f t="shared" si="5"/>
        <v/>
      </c>
      <c r="J69" s="17"/>
      <c r="K69" s="25" t="str">
        <f>IF(C68=$F$11,SUM($K$18:K68),IF(C69=B69,1/((1+$F$14)^SUM($E$18:E69)),""))</f>
        <v/>
      </c>
    </row>
    <row r="70" spans="1:13" x14ac:dyDescent="0.25">
      <c r="B70" s="18">
        <v>53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IF(C69=$F$11,SUM($F$18:F69),IF(C70=B70,IF(C70=$F$11,I69,ROUND(H70-G70,2)),""))</f>
        <v/>
      </c>
      <c r="G70" s="17" t="str">
        <f>IF(C69=$F$11,SUM($G$18:G69),IF(C70=B70,ROUND(((($F$13+1)^((D70-D69)/360))-1)*I69,2),""))</f>
        <v/>
      </c>
      <c r="H70" s="17" t="str">
        <f>IF(C69=$F$11,SUM($H$18:H69),IF(C70=B70,IF(C70=$F$11,F70+G70,ROUND($I$17/VLOOKUP("Totales",$D$18:$K$117,8,FALSE),2)),""))</f>
        <v/>
      </c>
      <c r="I70" s="17" t="str">
        <f t="shared" si="5"/>
        <v/>
      </c>
      <c r="J70" s="17"/>
      <c r="K70" s="25" t="str">
        <f>IF(C69=$F$11,SUM($K$18:K69),IF(C70=B70,1/((1+$F$14)^SUM($E$18:E70)),""))</f>
        <v/>
      </c>
    </row>
    <row r="71" spans="1:13" x14ac:dyDescent="0.25">
      <c r="B71" s="18">
        <v>54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IF(C70=$F$11,SUM($F$18:F70),IF(C71=B71,IF(C71=$F$11,I70,ROUND(H71-G71,2)),""))</f>
        <v/>
      </c>
      <c r="G71" s="17" t="str">
        <f>IF(C70=$F$11,SUM($G$18:G70),IF(C71=B71,ROUND(((($F$13+1)^((D71-D70)/360))-1)*I70,2),""))</f>
        <v/>
      </c>
      <c r="H71" s="17" t="str">
        <f>IF(C70=$F$11,SUM($H$18:H70),IF(C71=B71,IF(C71=$F$11,F71+G71,ROUND($I$17/VLOOKUP("Totales",$D$18:$K$117,8,FALSE),2)),""))</f>
        <v/>
      </c>
      <c r="I71" s="17" t="str">
        <f t="shared" si="5"/>
        <v/>
      </c>
      <c r="J71" s="17"/>
      <c r="K71" s="25" t="str">
        <f>IF(C70=$F$11,SUM($K$18:K70),IF(C71=B71,1/((1+$F$14)^SUM($E$18:E71)),""))</f>
        <v/>
      </c>
    </row>
    <row r="72" spans="1:13" x14ac:dyDescent="0.25">
      <c r="B72" s="18">
        <v>55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IF(C71=$F$11,SUM($F$18:F71),IF(C72=B72,IF(C72=$F$11,I71,ROUND(H72-G72,2)),""))</f>
        <v/>
      </c>
      <c r="G72" s="17" t="str">
        <f>IF(C71=$F$11,SUM($G$18:G71),IF(C72=B72,ROUND(((($F$13+1)^((D72-D71)/360))-1)*I71,2),""))</f>
        <v/>
      </c>
      <c r="H72" s="17" t="str">
        <f>IF(C71=$F$11,SUM($H$18:H71),IF(C72=B72,IF(C72=$F$11,F72+G72,ROUND($I$17/VLOOKUP("Totales",$D$18:$K$117,8,FALSE),2)),""))</f>
        <v/>
      </c>
      <c r="I72" s="17" t="str">
        <f t="shared" si="5"/>
        <v/>
      </c>
      <c r="J72" s="17"/>
      <c r="K72" s="25" t="str">
        <f>IF(C71=$F$11,SUM($K$18:K71),IF(C72=B72,1/((1+$F$14)^SUM($E$18:E72)),""))</f>
        <v/>
      </c>
    </row>
    <row r="73" spans="1:13" x14ac:dyDescent="0.25">
      <c r="B73" s="18">
        <v>56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IF(C72=$F$11,SUM($F$18:F72),IF(C73=B73,IF(C73=$F$11,I72,ROUND(H73-G73,2)),""))</f>
        <v/>
      </c>
      <c r="G73" s="17" t="str">
        <f>IF(C72=$F$11,SUM($G$18:G72),IF(C73=B73,ROUND(((($F$13+1)^((D73-D72)/360))-1)*I72,2),""))</f>
        <v/>
      </c>
      <c r="H73" s="17" t="str">
        <f>IF(C72=$F$11,SUM($H$18:H72),IF(C73=B73,IF(C73=$F$11,F73+G73,ROUND($I$17/VLOOKUP("Totales",$D$18:$K$117,8,FALSE),2)),""))</f>
        <v/>
      </c>
      <c r="I73" s="17" t="str">
        <f t="shared" si="5"/>
        <v/>
      </c>
      <c r="J73" s="17"/>
      <c r="K73" s="25" t="str">
        <f>IF(C72=$F$11,SUM($K$18:K72),IF(C73=B73,1/((1+$F$14)^SUM($E$18:E73)),""))</f>
        <v/>
      </c>
    </row>
    <row r="74" spans="1:13" x14ac:dyDescent="0.25">
      <c r="B74" s="18">
        <v>57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IF(C73=$F$11,SUM($F$18:F73),IF(C74=B74,IF(C74=$F$11,I73,ROUND(H74-G74,2)),""))</f>
        <v/>
      </c>
      <c r="G74" s="17" t="str">
        <f>IF(C73=$F$11,SUM($G$18:G73),IF(C74=B74,ROUND(((($F$13+1)^((D74-D73)/360))-1)*I73,2),""))</f>
        <v/>
      </c>
      <c r="H74" s="17" t="str">
        <f>IF(C73=$F$11,SUM($H$18:H73),IF(C74=B74,IF(C74=$F$11,F74+G74,ROUND($I$17/VLOOKUP("Totales",$D$18:$K$117,8,FALSE),2)),""))</f>
        <v/>
      </c>
      <c r="I74" s="17" t="str">
        <f t="shared" si="5"/>
        <v/>
      </c>
      <c r="J74" s="17"/>
      <c r="K74" s="25" t="str">
        <f>IF(C73=$F$11,SUM($K$18:K73),IF(C74=B74,1/((1+$F$14)^SUM($E$18:E74)),""))</f>
        <v/>
      </c>
    </row>
    <row r="75" spans="1:13" x14ac:dyDescent="0.25">
      <c r="B75" s="18">
        <v>58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IF(C74=$F$11,SUM($F$18:F74),IF(C75=B75,IF(C75=$F$11,I74,ROUND(H75-G75,2)),""))</f>
        <v/>
      </c>
      <c r="G75" s="17" t="str">
        <f>IF(C74=$F$11,SUM($G$18:G74),IF(C75=B75,ROUND(((($F$13+1)^((D75-D74)/360))-1)*I74,2),""))</f>
        <v/>
      </c>
      <c r="H75" s="17" t="str">
        <f>IF(C74=$F$11,SUM($H$18:H74),IF(C75=B75,IF(C75=$F$11,F75+G75,ROUND($I$17/VLOOKUP("Totales",$D$18:$K$117,8,FALSE),2)),""))</f>
        <v/>
      </c>
      <c r="I75" s="17" t="str">
        <f t="shared" si="5"/>
        <v/>
      </c>
      <c r="J75" s="17"/>
      <c r="K75" s="25" t="str">
        <f>IF(C74=$F$11,SUM($K$18:K74),IF(C75=B75,1/((1+$F$14)^SUM($E$18:E75)),""))</f>
        <v/>
      </c>
    </row>
    <row r="76" spans="1:13" x14ac:dyDescent="0.25">
      <c r="B76" s="18">
        <v>59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IF(C75=$F$11,SUM($F$18:F75),IF(C76=B76,IF(C76=$F$11,I75,ROUND(H76-G76,2)),""))</f>
        <v/>
      </c>
      <c r="G76" s="17" t="str">
        <f>IF(C75=$F$11,SUM($G$18:G75),IF(C76=B76,ROUND(((($F$13+1)^((D76-D75)/360))-1)*I75,2),""))</f>
        <v/>
      </c>
      <c r="H76" s="17" t="str">
        <f>IF(C75=$F$11,SUM($H$18:H75),IF(C76=B76,IF(C76=$F$11,F76+G76,ROUND($I$17/VLOOKUP("Totales",$D$18:$K$117,8,FALSE),2)),""))</f>
        <v/>
      </c>
      <c r="I76" s="17" t="str">
        <f t="shared" si="5"/>
        <v/>
      </c>
      <c r="J76" s="17"/>
      <c r="K76" s="25" t="str">
        <f>IF(C75=$F$11,SUM($K$18:K75),IF(C76=B76,1/((1+$F$14)^SUM($E$18:E76)),""))</f>
        <v/>
      </c>
    </row>
    <row r="77" spans="1:13" x14ac:dyDescent="0.25">
      <c r="B77" s="18">
        <v>60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IF(C76=$F$11,SUM($F$18:F76),IF(C77=B77,IF(C77=$F$11,I76,ROUND(H77-G77,2)),""))</f>
        <v/>
      </c>
      <c r="G77" s="17" t="str">
        <f>IF(C76=$F$11,SUM($G$18:G76),IF(C77=B77,ROUND(((($F$13+1)^((D77-D76)/360))-1)*I76,2),""))</f>
        <v/>
      </c>
      <c r="H77" s="17" t="str">
        <f>IF(C76=$F$11,SUM($H$18:H76),IF(C77=B77,IF(C77=$F$11,F77+G77,ROUND($I$17/VLOOKUP("Totales",$D$18:$K$117,8,FALSE),2)),""))</f>
        <v/>
      </c>
      <c r="I77" s="17" t="str">
        <f t="shared" si="5"/>
        <v/>
      </c>
      <c r="J77" s="17"/>
      <c r="K77" s="25" t="str">
        <f>IF(C76=$F$11,SUM($K$18:K76),IF(C77=B77,1/((1+$F$14)^SUM($E$18:E77)),""))</f>
        <v/>
      </c>
    </row>
    <row r="78" spans="1:13" x14ac:dyDescent="0.25">
      <c r="B78" s="18">
        <v>61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IF(C77=$F$11,SUM($F$18:F77),IF(C78=B78,IF(C78=$F$11,I77,ROUND(H78-G78,2)),""))</f>
        <v/>
      </c>
      <c r="G78" s="17" t="str">
        <f>IF(C77=$F$11,SUM($G$18:G77),IF(C78=B78,ROUND(((($F$13+1)^((D78-D77)/360))-1)*I77,2),""))</f>
        <v/>
      </c>
      <c r="H78" s="17" t="str">
        <f>IF(C77=$F$11,SUM($H$18:H77),IF(C78=B78,IF(C78=$F$11,F78+G78,ROUND($I$17/VLOOKUP("Totales",$D$18:$K$117,8,FALSE),2)),""))</f>
        <v/>
      </c>
      <c r="I78" s="17" t="str">
        <f t="shared" si="5"/>
        <v/>
      </c>
      <c r="J78" s="17"/>
      <c r="K78" s="25" t="str">
        <f>IF(C77=$F$11,SUM($K$18:K77),IF(C78=B78,1/((1+$F$14)^SUM($E$18:E78)),""))</f>
        <v/>
      </c>
    </row>
    <row r="79" spans="1:13" x14ac:dyDescent="0.25">
      <c r="B79" s="18">
        <v>62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IF(C78=$F$11,SUM($F$18:F78),IF(C79=B79,IF(C79=$F$11,I78,ROUND(H79-G79,2)),""))</f>
        <v/>
      </c>
      <c r="G79" s="17" t="str">
        <f>IF(C78=$F$11,SUM($G$18:G78),IF(C79=B79,ROUND(((($F$13+1)^((D79-D78)/360))-1)*I78,2),""))</f>
        <v/>
      </c>
      <c r="H79" s="17" t="str">
        <f>IF(C78=$F$11,SUM($H$18:H78),IF(C79=B79,IF(C79=$F$11,F79+G79,ROUND($I$17/VLOOKUP("Totales",$D$18:$K$117,8,FALSE),2)),""))</f>
        <v/>
      </c>
      <c r="I79" s="17" t="str">
        <f t="shared" si="5"/>
        <v/>
      </c>
      <c r="J79" s="17"/>
      <c r="K79" s="25" t="str">
        <f>IF(C78=$F$11,SUM($K$18:K78),IF(C79=B79,1/((1+$F$14)^SUM($E$18:E79)),""))</f>
        <v/>
      </c>
    </row>
    <row r="80" spans="1:13" x14ac:dyDescent="0.25">
      <c r="B80" s="18">
        <v>63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IF(C79=$F$11,SUM($F$18:F79),IF(C80=B80,IF(C80=$F$11,I79,ROUND(H80-G80,2)),""))</f>
        <v/>
      </c>
      <c r="G80" s="17" t="str">
        <f>IF(C79=$F$11,SUM($G$18:G79),IF(C80=B80,ROUND(((($F$13+1)^((D80-D79)/360))-1)*I79,2),""))</f>
        <v/>
      </c>
      <c r="H80" s="17" t="str">
        <f>IF(C79=$F$11,SUM($H$18:H79),IF(C80=B80,IF(C80=$F$11,F80+G80,ROUND($I$17/VLOOKUP("Totales",$D$18:$K$117,8,FALSE),2)),""))</f>
        <v/>
      </c>
      <c r="I80" s="17" t="str">
        <f t="shared" si="5"/>
        <v/>
      </c>
      <c r="J80" s="17"/>
      <c r="K80" s="25" t="str">
        <f>IF(C79=$F$11,SUM($K$18:K79),IF(C80=B80,1/((1+$F$14)^SUM($E$18:E80)),""))</f>
        <v/>
      </c>
    </row>
    <row r="81" spans="2:11" x14ac:dyDescent="0.25">
      <c r="B81" s="18">
        <v>64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IF(C80=$F$11,SUM($F$18:F80),IF(C81=B81,IF(C81=$F$11,I80,ROUND(H81-G81,2)),""))</f>
        <v/>
      </c>
      <c r="G81" s="17" t="str">
        <f>IF(C80=$F$11,SUM($G$18:G80),IF(C81=B81,ROUND(((($F$13+1)^((D81-D80)/360))-1)*I80,2),""))</f>
        <v/>
      </c>
      <c r="H81" s="17" t="str">
        <f>IF(C80=$F$11,SUM($H$18:H80),IF(C81=B81,IF(C81=$F$11,F81+G81,ROUND($I$17/VLOOKUP("Totales",$D$18:$K$117,8,FALSE),2)),""))</f>
        <v/>
      </c>
      <c r="I81" s="17" t="str">
        <f t="shared" si="5"/>
        <v/>
      </c>
      <c r="J81" s="17"/>
      <c r="K81" s="25" t="str">
        <f>IF(C80=$F$11,SUM($K$18:K80),IF(C81=B81,1/((1+$F$14)^SUM($E$18:E81)),""))</f>
        <v/>
      </c>
    </row>
    <row r="82" spans="2:11" x14ac:dyDescent="0.25">
      <c r="B82" s="18">
        <v>65</v>
      </c>
      <c r="C82" s="19" t="str">
        <f t="shared" si="1"/>
        <v/>
      </c>
      <c r="D82" s="20" t="str">
        <f t="shared" si="2"/>
        <v/>
      </c>
      <c r="E82" s="23" t="str">
        <f t="shared" si="4"/>
        <v/>
      </c>
      <c r="F82" s="17" t="str">
        <f>IF(C81=$F$11,SUM($F$18:F81),IF(C82=B82,IF(C82=$F$11,I81,ROUND(H82-G82,2)),""))</f>
        <v/>
      </c>
      <c r="G82" s="17" t="str">
        <f>IF(C81=$F$11,SUM($G$18:G81),IF(C82=B82,ROUND(((($F$13+1)^((D82-D81)/360))-1)*I81,2),""))</f>
        <v/>
      </c>
      <c r="H82" s="17" t="str">
        <f>IF(C81=$F$11,SUM($H$18:H81),IF(C82=B82,IF(C82=$F$11,F82+G82,ROUND($I$17/VLOOKUP("Totales",$D$18:$K$117,8,FALSE),2)),""))</f>
        <v/>
      </c>
      <c r="I82" s="17" t="str">
        <f t="shared" si="5"/>
        <v/>
      </c>
      <c r="J82" s="17"/>
      <c r="K82" s="25" t="str">
        <f>IF(C81=$F$11,SUM($K$18:K81),IF(C82=B82,1/((1+$F$14)^SUM($E$18:E82)),""))</f>
        <v/>
      </c>
    </row>
    <row r="83" spans="2:11" x14ac:dyDescent="0.25">
      <c r="B83" s="18">
        <v>66</v>
      </c>
      <c r="C83" s="19" t="str">
        <f t="shared" ref="C83:C117" si="6">IF(B83&lt;=$F$11,B83,"")</f>
        <v/>
      </c>
      <c r="D83" s="20" t="str">
        <f t="shared" ref="D83:D116" si="7">IF(C82=$F$11,"Totales",IF(B83&lt;=$F$11,DATE(IF(MONTH(D82)=12,YEAR(D82)+1,YEAR(D82)),IF(MONTH(D82)=12,1,IF(DAY(D82)&lt;10,MONTH(D82),MONTH(D82)+1)),15),""))</f>
        <v/>
      </c>
      <c r="E83" s="23" t="str">
        <f t="shared" si="4"/>
        <v/>
      </c>
      <c r="F83" s="17" t="str">
        <f>IF(C82=$F$11,SUM($F$18:F82),IF(C83=B83,IF(C83=$F$11,I82,ROUND(H83-G83,2)),""))</f>
        <v/>
      </c>
      <c r="G83" s="17" t="str">
        <f>IF(C82=$F$11,SUM($G$18:G82),IF(C83=B83,ROUND(((($F$13+1)^((D83-D82)/360))-1)*I82,2),""))</f>
        <v/>
      </c>
      <c r="H83" s="17" t="str">
        <f>IF(C82=$F$11,SUM($H$18:H82),IF(C83=B83,IF(C83=$F$11,F83+G83,ROUND($I$17/VLOOKUP("Totales",$D$18:$K$117,8,FALSE),2)),""))</f>
        <v/>
      </c>
      <c r="I83" s="17" t="str">
        <f t="shared" si="5"/>
        <v/>
      </c>
      <c r="J83" s="17"/>
      <c r="K83" s="25" t="str">
        <f>IF(C82=$F$11,SUM($K$18:K82),IF(C83=B83,1/((1+$F$14)^SUM($E$18:E83)),""))</f>
        <v/>
      </c>
    </row>
    <row r="84" spans="2:11" x14ac:dyDescent="0.25">
      <c r="B84" s="18">
        <v>67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IF(C83=$F$11,SUM($F$18:F83),IF(C84=B84,IF(C84=$F$11,I83,ROUND(H84-G84,2)),""))</f>
        <v/>
      </c>
      <c r="G84" s="17" t="str">
        <f>IF(C83=$F$11,SUM($G$18:G83),IF(C84=B84,ROUND(((($F$13+1)^((D84-D83)/360))-1)*I83,2),""))</f>
        <v/>
      </c>
      <c r="H84" s="17" t="str">
        <f>IF(C83=$F$11,SUM($H$18:H83),IF(C84=B84,IF(C84=$F$11,F84+G84,ROUND($I$17/VLOOKUP("Totales",$D$18:$K$117,8,FALSE),2)),""))</f>
        <v/>
      </c>
      <c r="I84" s="17" t="str">
        <f t="shared" si="5"/>
        <v/>
      </c>
      <c r="J84" s="17"/>
      <c r="K84" s="25" t="str">
        <f>IF(C83=$F$11,SUM($K$18:K83),IF(C84=B84,1/((1+$F$14)^SUM($E$18:E84)),""))</f>
        <v/>
      </c>
    </row>
    <row r="85" spans="2:11" x14ac:dyDescent="0.25">
      <c r="B85" s="18">
        <v>68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IF(C84=$F$11,SUM($F$18:F84),IF(C85=B85,IF(C85=$F$11,I84,ROUND(H85-G85,2)),""))</f>
        <v/>
      </c>
      <c r="G85" s="17" t="str">
        <f>IF(C84=$F$11,SUM($G$18:G84),IF(C85=B85,ROUND(((($F$13+1)^((D85-D84)/360))-1)*I84,2),""))</f>
        <v/>
      </c>
      <c r="H85" s="17" t="str">
        <f>IF(C84=$F$11,SUM($H$18:H84),IF(C85=B85,IF(C85=$F$11,F85+G85,ROUND($I$17/VLOOKUP("Totales",$D$18:$K$117,8,FALSE),2)),""))</f>
        <v/>
      </c>
      <c r="I85" s="17" t="str">
        <f t="shared" si="5"/>
        <v/>
      </c>
      <c r="J85" s="17"/>
      <c r="K85" s="25" t="str">
        <f>IF(C84=$F$11,SUM($K$18:K84),IF(C85=B85,1/((1+$F$14)^SUM($E$18:E85)),""))</f>
        <v/>
      </c>
    </row>
    <row r="86" spans="2:11" x14ac:dyDescent="0.25">
      <c r="B86" s="18">
        <v>69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IF(C85=$F$11,SUM($F$18:F85),IF(C86=B86,IF(C86=$F$11,I85,ROUND(H86-G86,2)),""))</f>
        <v/>
      </c>
      <c r="G86" s="17" t="str">
        <f>IF(C85=$F$11,SUM($G$18:G85),IF(C86=B86,ROUND(((($F$13+1)^((D86-D85)/360))-1)*I85,2),""))</f>
        <v/>
      </c>
      <c r="H86" s="17" t="str">
        <f>IF(C85=$F$11,SUM($H$18:H85),IF(C86=B86,IF(C86=$F$11,F86+G86,ROUND($I$17/VLOOKUP("Totales",$D$18:$K$117,8,FALSE),2)),""))</f>
        <v/>
      </c>
      <c r="I86" s="17" t="str">
        <f t="shared" si="5"/>
        <v/>
      </c>
      <c r="J86" s="17"/>
      <c r="K86" s="25" t="str">
        <f>IF(C85=$F$11,SUM($K$18:K85),IF(C86=B86,1/((1+$F$14)^SUM($E$18:E86)),""))</f>
        <v/>
      </c>
    </row>
    <row r="87" spans="2:11" x14ac:dyDescent="0.25">
      <c r="B87" s="18">
        <v>70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IF(C86=$F$11,SUM($F$18:F86),IF(C87=B87,IF(C87=$F$11,I86,ROUND(H87-G87,2)),""))</f>
        <v/>
      </c>
      <c r="G87" s="17" t="str">
        <f>IF(C86=$F$11,SUM($G$18:G86),IF(C87=B87,ROUND(((($F$13+1)^((D87-D86)/360))-1)*I86,2),""))</f>
        <v/>
      </c>
      <c r="H87" s="17" t="str">
        <f>IF(C86=$F$11,SUM($H$18:H86),IF(C87=B87,IF(C87=$F$11,F87+G87,ROUND($I$17/VLOOKUP("Totales",$D$18:$K$117,8,FALSE),2)),""))</f>
        <v/>
      </c>
      <c r="I87" s="17" t="str">
        <f t="shared" si="5"/>
        <v/>
      </c>
      <c r="J87" s="17"/>
      <c r="K87" s="25" t="str">
        <f>IF(C86=$F$11,SUM($K$18:K86),IF(C87=B87,1/((1+$F$14)^SUM($E$18:E87)),""))</f>
        <v/>
      </c>
    </row>
    <row r="88" spans="2:11" x14ac:dyDescent="0.25">
      <c r="B88" s="18">
        <v>71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IF(C87=$F$11,SUM($F$18:F87),IF(C88=B88,IF(C88=$F$11,I87,ROUND(H88-G88,2)),""))</f>
        <v/>
      </c>
      <c r="G88" s="17" t="str">
        <f>IF(C87=$F$11,SUM($G$18:G87),IF(C88=B88,ROUND(((($F$13+1)^((D88-D87)/360))-1)*I87,2),""))</f>
        <v/>
      </c>
      <c r="H88" s="17" t="str">
        <f>IF(C87=$F$11,SUM($H$18:H87),IF(C88=B88,IF(C88=$F$11,F88+G88,ROUND($I$17/VLOOKUP("Totales",$D$18:$K$117,8,FALSE),2)),""))</f>
        <v/>
      </c>
      <c r="I88" s="17" t="str">
        <f t="shared" si="5"/>
        <v/>
      </c>
      <c r="J88" s="17"/>
      <c r="K88" s="25" t="str">
        <f>IF(C87=$F$11,SUM($K$18:K87),IF(C88=B88,1/((1+$F$14)^SUM($E$18:E88)),""))</f>
        <v/>
      </c>
    </row>
    <row r="89" spans="2:11" x14ac:dyDescent="0.25">
      <c r="B89" s="18">
        <v>72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IF(C88=$F$11,SUM($F$18:F88),IF(C89=B89,IF(C89=$F$11,I88,ROUND(H89-G89,2)),""))</f>
        <v/>
      </c>
      <c r="G89" s="17" t="str">
        <f>IF(C88=$F$11,SUM($G$18:G88),IF(C89=B89,ROUND(((($F$13+1)^((D89-D88)/360))-1)*I88,2),""))</f>
        <v/>
      </c>
      <c r="H89" s="17" t="str">
        <f>IF(C88=$F$11,SUM($H$18:H88),IF(C89=B89,IF(C89=$F$11,F89+G89,ROUND($I$17/VLOOKUP("Totales",$D$18:$K$117,8,FALSE),2)),""))</f>
        <v/>
      </c>
      <c r="I89" s="17" t="str">
        <f t="shared" si="5"/>
        <v/>
      </c>
      <c r="J89" s="17"/>
      <c r="K89" s="25" t="str">
        <f>IF(C88=$F$11,SUM($K$18:K88),IF(C89=B89,1/((1+$F$14)^SUM($E$18:E89)),""))</f>
        <v/>
      </c>
    </row>
    <row r="90" spans="2:11" x14ac:dyDescent="0.25">
      <c r="B90" s="18">
        <v>73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IF(C89=$F$11,SUM($F$18:F89),IF(C90=B90,IF(C90=$F$11,I89,ROUND(H90-G90,2)),""))</f>
        <v/>
      </c>
      <c r="G90" s="17" t="str">
        <f>IF(C89=$F$11,SUM($G$18:G89),IF(C90=B90,ROUND(((($F$13+1)^((D90-D89)/360))-1)*I89,2),""))</f>
        <v/>
      </c>
      <c r="H90" s="17" t="str">
        <f>IF(C89=$F$11,SUM($H$18:H89),IF(C90=B90,IF(C90=$F$11,F90+G90,ROUND($I$17/VLOOKUP("Totales",$D$18:$K$117,8,FALSE),2)),""))</f>
        <v/>
      </c>
      <c r="I90" s="17" t="str">
        <f t="shared" si="5"/>
        <v/>
      </c>
      <c r="J90" s="17"/>
      <c r="K90" s="25" t="str">
        <f>IF(C89=$F$11,SUM($K$18:K89),IF(C90=B90,1/((1+$F$14)^SUM($E$18:E90)),""))</f>
        <v/>
      </c>
    </row>
    <row r="91" spans="2:11" x14ac:dyDescent="0.25">
      <c r="B91" s="18">
        <v>74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IF(C90=$F$11,SUM($F$18:F90),IF(C91=B91,IF(C91=$F$11,I90,ROUND(H91-G91,2)),""))</f>
        <v/>
      </c>
      <c r="G91" s="17" t="str">
        <f>IF(C90=$F$11,SUM($G$18:G90),IF(C91=B91,ROUND(((($F$13+1)^((D91-D90)/360))-1)*I90,2),""))</f>
        <v/>
      </c>
      <c r="H91" s="17" t="str">
        <f>IF(C90=$F$11,SUM($H$18:H90),IF(C91=B91,IF(C91=$F$11,F91+G91,ROUND($I$17/VLOOKUP("Totales",$D$18:$K$117,8,FALSE),2)),""))</f>
        <v/>
      </c>
      <c r="I91" s="17" t="str">
        <f t="shared" si="5"/>
        <v/>
      </c>
      <c r="J91" s="17"/>
      <c r="K91" s="25" t="str">
        <f>IF(C90=$F$11,SUM($K$18:K90),IF(C91=B91,1/((1+$F$14)^SUM($E$18:E91)),""))</f>
        <v/>
      </c>
    </row>
    <row r="92" spans="2:11" x14ac:dyDescent="0.25">
      <c r="B92" s="18">
        <v>75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IF(C91=$F$11,SUM($F$18:F91),IF(C92=B92,IF(C92=$F$11,I91,ROUND(H92-G92,2)),""))</f>
        <v/>
      </c>
      <c r="G92" s="17" t="str">
        <f>IF(C91=$F$11,SUM($G$18:G91),IF(C92=B92,ROUND(((($F$13+1)^((D92-D91)/360))-1)*I91,2),""))</f>
        <v/>
      </c>
      <c r="H92" s="17" t="str">
        <f>IF(C91=$F$11,SUM($H$18:H91),IF(C92=B92,IF(C92=$F$11,F92+G92,ROUND($I$17/VLOOKUP("Totales",$D$18:$K$117,8,FALSE),2)),""))</f>
        <v/>
      </c>
      <c r="I92" s="17" t="str">
        <f t="shared" si="5"/>
        <v/>
      </c>
      <c r="J92" s="17"/>
      <c r="K92" s="25" t="str">
        <f>IF(C91=$F$11,SUM($K$18:K91),IF(C92=B92,1/((1+$F$14)^SUM($E$18:E92)),""))</f>
        <v/>
      </c>
    </row>
    <row r="93" spans="2:11" x14ac:dyDescent="0.25">
      <c r="B93" s="18">
        <v>76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IF(C92=$F$11,SUM($F$18:F92),IF(C93=B93,IF(C93=$F$11,I92,ROUND(H93-G93,2)),""))</f>
        <v/>
      </c>
      <c r="G93" s="17" t="str">
        <f>IF(C92=$F$11,SUM($G$18:G92),IF(C93=B93,ROUND(((($F$13+1)^((D93-D92)/360))-1)*I92,2),""))</f>
        <v/>
      </c>
      <c r="H93" s="17" t="str">
        <f>IF(C92=$F$11,SUM($H$18:H92),IF(C93=B93,IF(C93=$F$11,F93+G93,ROUND($I$17/VLOOKUP("Totales",$D$18:$K$117,8,FALSE),2)),""))</f>
        <v/>
      </c>
      <c r="I93" s="17" t="str">
        <f t="shared" si="5"/>
        <v/>
      </c>
      <c r="J93" s="17"/>
      <c r="K93" s="25" t="str">
        <f>IF(C92=$F$11,SUM($K$18:K92),IF(C93=B93,1/((1+$F$14)^SUM($E$18:E93)),""))</f>
        <v/>
      </c>
    </row>
    <row r="94" spans="2:11" x14ac:dyDescent="0.25">
      <c r="B94" s="18">
        <v>77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IF(C93=$F$11,SUM($F$18:F93),IF(C94=B94,IF(C94=$F$11,I93,ROUND(H94-G94,2)),""))</f>
        <v/>
      </c>
      <c r="G94" s="17" t="str">
        <f>IF(C93=$F$11,SUM($G$18:G93),IF(C94=B94,ROUND(((($F$13+1)^((D94-D93)/360))-1)*I93,2),""))</f>
        <v/>
      </c>
      <c r="H94" s="17" t="str">
        <f>IF(C93=$F$11,SUM($H$18:H93),IF(C94=B94,IF(C94=$F$11,F94+G94,ROUND($I$17/VLOOKUP("Totales",$D$18:$K$117,8,FALSE),2)),""))</f>
        <v/>
      </c>
      <c r="I94" s="17" t="str">
        <f t="shared" si="5"/>
        <v/>
      </c>
      <c r="J94" s="17"/>
      <c r="K94" s="25" t="str">
        <f>IF(C93=$F$11,SUM($K$18:K93),IF(C94=B94,1/((1+$F$14)^SUM($E$18:E94)),""))</f>
        <v/>
      </c>
    </row>
    <row r="95" spans="2:11" x14ac:dyDescent="0.25">
      <c r="B95" s="18">
        <v>78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IF(C94=$F$11,SUM($F$18:F94),IF(C95=B95,IF(C95=$F$11,I94,ROUND(H95-G95,2)),""))</f>
        <v/>
      </c>
      <c r="G95" s="17" t="str">
        <f>IF(C94=$F$11,SUM($G$18:G94),IF(C95=B95,ROUND(((($F$13+1)^((D95-D94)/360))-1)*I94,2),""))</f>
        <v/>
      </c>
      <c r="H95" s="17" t="str">
        <f>IF(C94=$F$11,SUM($H$18:H94),IF(C95=B95,IF(C95=$F$11,F95+G95,ROUND($I$17/VLOOKUP("Totales",$D$18:$K$117,8,FALSE),2)),""))</f>
        <v/>
      </c>
      <c r="I95" s="17" t="str">
        <f t="shared" si="5"/>
        <v/>
      </c>
      <c r="J95" s="17"/>
      <c r="K95" s="25" t="str">
        <f>IF(C94=$F$11,SUM($K$18:K94),IF(C95=B95,1/((1+$F$14)^SUM($E$18:E95)),""))</f>
        <v/>
      </c>
    </row>
    <row r="96" spans="2:11" x14ac:dyDescent="0.25">
      <c r="B96" s="18">
        <v>79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IF(C95=$F$11,SUM($F$18:F95),IF(C96=B96,IF(C96=$F$11,I95,ROUND(H96-G96,2)),""))</f>
        <v/>
      </c>
      <c r="G96" s="17" t="str">
        <f>IF(C95=$F$11,SUM($G$18:G95),IF(C96=B96,ROUND(((($F$13+1)^((D96-D95)/360))-1)*I95,2),""))</f>
        <v/>
      </c>
      <c r="H96" s="17" t="str">
        <f>IF(C95=$F$11,SUM($H$18:H95),IF(C96=B96,IF(C96=$F$11,F96+G96,ROUND($I$17/VLOOKUP("Totales",$D$18:$K$117,8,FALSE),2)),""))</f>
        <v/>
      </c>
      <c r="I96" s="17" t="str">
        <f t="shared" si="5"/>
        <v/>
      </c>
      <c r="J96" s="17"/>
      <c r="K96" s="25" t="str">
        <f>IF(C95=$F$11,SUM($K$18:K95),IF(C96=B96,1/((1+$F$14)^SUM($E$18:E96)),""))</f>
        <v/>
      </c>
    </row>
    <row r="97" spans="2:11" x14ac:dyDescent="0.25">
      <c r="B97" s="18">
        <v>80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IF(C96=$F$11,SUM($F$18:F96),IF(C97=B97,IF(C97=$F$11,I96,ROUND(H97-G97,2)),""))</f>
        <v/>
      </c>
      <c r="G97" s="17" t="str">
        <f>IF(C96=$F$11,SUM($G$18:G96),IF(C97=B97,ROUND(((($F$13+1)^((D97-D96)/360))-1)*I96,2),""))</f>
        <v/>
      </c>
      <c r="H97" s="17" t="str">
        <f>IF(C96=$F$11,SUM($H$18:H96),IF(C97=B97,IF(C97=$F$11,F97+G97,ROUND($I$17/VLOOKUP("Totales",$D$18:$K$117,8,FALSE),2)),""))</f>
        <v/>
      </c>
      <c r="I97" s="17" t="str">
        <f t="shared" si="5"/>
        <v/>
      </c>
      <c r="J97" s="17"/>
      <c r="K97" s="25" t="str">
        <f>IF(C96=$F$11,SUM($K$18:K96),IF(C97=B97,1/((1+$F$14)^SUM($E$18:E97)),""))</f>
        <v/>
      </c>
    </row>
    <row r="98" spans="2:11" x14ac:dyDescent="0.25">
      <c r="B98" s="18">
        <v>81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IF(C97=$F$11,SUM($F$18:F97),IF(C98=B98,IF(C98=$F$11,I97,ROUND(H98-G98,2)),""))</f>
        <v/>
      </c>
      <c r="G98" s="17" t="str">
        <f>IF(C97=$F$11,SUM($G$18:G97),IF(C98=B98,ROUND(((($F$13+1)^((D98-D97)/360))-1)*I97,2),""))</f>
        <v/>
      </c>
      <c r="H98" s="17" t="str">
        <f>IF(C97=$F$11,SUM($H$18:H97),IF(C98=B98,IF(C98=$F$11,F98+G98,ROUND($I$17/VLOOKUP("Totales",$D$18:$K$117,8,FALSE),2)),""))</f>
        <v/>
      </c>
      <c r="I98" s="17" t="str">
        <f t="shared" si="5"/>
        <v/>
      </c>
      <c r="J98" s="17"/>
      <c r="K98" s="25" t="str">
        <f>IF(C97=$F$11,SUM($K$18:K97),IF(C98=B98,1/((1+$F$14)^SUM($E$18:E98)),""))</f>
        <v/>
      </c>
    </row>
    <row r="99" spans="2:11" x14ac:dyDescent="0.25">
      <c r="B99" s="18">
        <v>82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IF(C98=$F$11,SUM($F$18:F98),IF(C99=B99,IF(C99=$F$11,I98,ROUND(H99-G99,2)),""))</f>
        <v/>
      </c>
      <c r="G99" s="17" t="str">
        <f>IF(C98=$F$11,SUM($G$18:G98),IF(C99=B99,ROUND(((($F$13+1)^((D99-D98)/360))-1)*I98,2),""))</f>
        <v/>
      </c>
      <c r="H99" s="17" t="str">
        <f>IF(C98=$F$11,SUM($H$18:H98),IF(C99=B99,IF(C99=$F$11,F99+G99,ROUND($I$17/VLOOKUP("Totales",$D$18:$K$117,8,FALSE),2)),""))</f>
        <v/>
      </c>
      <c r="I99" s="17" t="str">
        <f t="shared" si="5"/>
        <v/>
      </c>
      <c r="J99" s="17"/>
      <c r="K99" s="25" t="str">
        <f>IF(C98=$F$11,SUM($K$18:K98),IF(C99=B99,1/((1+$F$14)^SUM($E$18:E99)),""))</f>
        <v/>
      </c>
    </row>
    <row r="100" spans="2:11" x14ac:dyDescent="0.25">
      <c r="B100" s="18">
        <v>83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IF(C99=$F$11,SUM($F$18:F99),IF(C100=B100,IF(C100=$F$11,I99,ROUND(H100-G100,2)),""))</f>
        <v/>
      </c>
      <c r="G100" s="17" t="str">
        <f>IF(C99=$F$11,SUM($G$18:G99),IF(C100=B100,ROUND(((($F$13+1)^((D100-D99)/360))-1)*I99,2),""))</f>
        <v/>
      </c>
      <c r="H100" s="17" t="str">
        <f>IF(C99=$F$11,SUM($H$18:H99),IF(C100=B100,IF(C100=$F$11,F100+G100,ROUND($I$17/VLOOKUP("Totales",$D$18:$K$117,8,FALSE),2)),""))</f>
        <v/>
      </c>
      <c r="I100" s="17" t="str">
        <f t="shared" si="5"/>
        <v/>
      </c>
      <c r="J100" s="17"/>
      <c r="K100" s="25" t="str">
        <f>IF(C99=$F$11,SUM($K$18:K99),IF(C100=B100,1/((1+$F$14)^SUM($E$18:E100)),""))</f>
        <v/>
      </c>
    </row>
    <row r="101" spans="2:11" x14ac:dyDescent="0.25">
      <c r="B101" s="18">
        <v>84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IF(C100=$F$11,SUM($F$18:F100),IF(C101=B101,IF(C101=$F$11,I100,ROUND(H101-G101,2)),""))</f>
        <v/>
      </c>
      <c r="G101" s="17" t="str">
        <f>IF(C100=$F$11,SUM($G$18:G100),IF(C101=B101,ROUND(((($F$13+1)^((D101-D100)/360))-1)*I100,2),""))</f>
        <v/>
      </c>
      <c r="H101" s="17" t="str">
        <f>IF(C100=$F$11,SUM($H$18:H100),IF(C101=B101,IF(C101=$F$11,F101+G101,ROUND($I$17/VLOOKUP("Totales",$D$18:$K$117,8,FALSE),2)),""))</f>
        <v/>
      </c>
      <c r="I101" s="17" t="str">
        <f t="shared" si="5"/>
        <v/>
      </c>
      <c r="J101" s="17"/>
      <c r="K101" s="25" t="str">
        <f>IF(C100=$F$11,SUM($K$18:K100),IF(C101=B101,1/((1+$F$14)^SUM($E$18:E101)),""))</f>
        <v/>
      </c>
    </row>
    <row r="102" spans="2:11" x14ac:dyDescent="0.25">
      <c r="B102" s="18">
        <v>85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IF(C101=$F$11,SUM($F$18:F101),IF(C102=B102,IF(C102=$F$11,I101,ROUND(H102-G102,2)),""))</f>
        <v/>
      </c>
      <c r="G102" s="17" t="str">
        <f>IF(C101=$F$11,SUM($G$18:G101),IF(C102=B102,ROUND(((($F$13+1)^((D102-D101)/360))-1)*I101,2),""))</f>
        <v/>
      </c>
      <c r="H102" s="17" t="str">
        <f>IF(C101=$F$11,SUM($H$18:H101),IF(C102=B102,IF(C102=$F$11,F102+G102,ROUND($I$17/VLOOKUP("Totales",$D$18:$K$117,8,FALSE),2)),""))</f>
        <v/>
      </c>
      <c r="I102" s="17" t="str">
        <f t="shared" si="5"/>
        <v/>
      </c>
      <c r="J102" s="17"/>
      <c r="K102" s="25" t="str">
        <f>IF(C101=$F$11,SUM($K$18:K101),IF(C102=B102,1/((1+$F$14)^SUM($E$18:E102)),""))</f>
        <v/>
      </c>
    </row>
    <row r="103" spans="2:11" x14ac:dyDescent="0.25">
      <c r="B103" s="18">
        <v>86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IF(C102=$F$11,SUM($F$18:F102),IF(C103=B103,IF(C103=$F$11,I102,ROUND(H103-G103,2)),""))</f>
        <v/>
      </c>
      <c r="G103" s="17" t="str">
        <f>IF(C102=$F$11,SUM($G$18:G102),IF(C103=B103,ROUND(((($F$13+1)^((D103-D102)/360))-1)*I102,2),""))</f>
        <v/>
      </c>
      <c r="H103" s="17" t="str">
        <f>IF(C102=$F$11,SUM($H$18:H102),IF(C103=B103,IF(C103=$F$11,F103+G103,ROUND($I$17/VLOOKUP("Totales",$D$18:$K$117,8,FALSE),2)),""))</f>
        <v/>
      </c>
      <c r="I103" s="17" t="str">
        <f t="shared" si="5"/>
        <v/>
      </c>
      <c r="J103" s="17"/>
      <c r="K103" s="25" t="str">
        <f>IF(C102=$F$11,SUM($K$18:K102),IF(C103=B103,1/((1+$F$14)^SUM($E$18:E103)),""))</f>
        <v/>
      </c>
    </row>
    <row r="104" spans="2:11" x14ac:dyDescent="0.25">
      <c r="B104" s="18">
        <v>87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IF(C103=$F$11,SUM($F$18:F103),IF(C104=B104,IF(C104=$F$11,I103,ROUND(H104-G104,2)),""))</f>
        <v/>
      </c>
      <c r="G104" s="17" t="str">
        <f>IF(C103=$F$11,SUM($G$18:G103),IF(C104=B104,ROUND(((($F$13+1)^((D104-D103)/360))-1)*I103,2),""))</f>
        <v/>
      </c>
      <c r="H104" s="17" t="str">
        <f>IF(C103=$F$11,SUM($H$18:H103),IF(C104=B104,IF(C104=$F$11,F104+G104,ROUND($I$17/VLOOKUP("Totales",$D$18:$K$117,8,FALSE),2)),""))</f>
        <v/>
      </c>
      <c r="I104" s="17" t="str">
        <f t="shared" si="5"/>
        <v/>
      </c>
      <c r="J104" s="17"/>
      <c r="K104" s="25" t="str">
        <f>IF(C103=$F$11,SUM($K$18:K103),IF(C104=B104,1/((1+$F$14)^SUM($E$18:E104)),""))</f>
        <v/>
      </c>
    </row>
    <row r="105" spans="2:11" x14ac:dyDescent="0.25">
      <c r="B105" s="18">
        <v>88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IF(C104=$F$11,SUM($F$18:F104),IF(C105=B105,IF(C105=$F$11,I104,ROUND(H105-G105,2)),""))</f>
        <v/>
      </c>
      <c r="G105" s="17" t="str">
        <f>IF(C104=$F$11,SUM($G$18:G104),IF(C105=B105,ROUND(((($F$13+1)^((D105-D104)/360))-1)*I104,2),""))</f>
        <v/>
      </c>
      <c r="H105" s="17" t="str">
        <f>IF(C104=$F$11,SUM($H$18:H104),IF(C105=B105,IF(C105=$F$11,F105+G105,ROUND($I$17/VLOOKUP("Totales",$D$18:$K$117,8,FALSE),2)),""))</f>
        <v/>
      </c>
      <c r="I105" s="17" t="str">
        <f t="shared" si="5"/>
        <v/>
      </c>
      <c r="J105" s="17"/>
      <c r="K105" s="25" t="str">
        <f>IF(C104=$F$11,SUM($K$18:K104),IF(C105=B105,1/((1+$F$14)^SUM($E$18:E105)),""))</f>
        <v/>
      </c>
    </row>
    <row r="106" spans="2:11" x14ac:dyDescent="0.25">
      <c r="B106" s="18">
        <v>89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IF(C105=$F$11,SUM($F$18:F105),IF(C106=B106,IF(C106=$F$11,I105,ROUND(H106-G106,2)),""))</f>
        <v/>
      </c>
      <c r="G106" s="17" t="str">
        <f>IF(C105=$F$11,SUM($G$18:G105),IF(C106=B106,ROUND(((($F$13+1)^((D106-D105)/360))-1)*I105,2),""))</f>
        <v/>
      </c>
      <c r="H106" s="17" t="str">
        <f>IF(C105=$F$11,SUM($H$18:H105),IF(C106=B106,IF(C106=$F$11,F106+G106,ROUND($I$17/VLOOKUP("Totales",$D$18:$K$117,8,FALSE),2)),""))</f>
        <v/>
      </c>
      <c r="I106" s="17" t="str">
        <f t="shared" si="5"/>
        <v/>
      </c>
      <c r="J106" s="17"/>
      <c r="K106" s="25" t="str">
        <f>IF(C105=$F$11,SUM($K$18:K105),IF(C106=B106,1/((1+$F$14)^SUM($E$18:E106)),""))</f>
        <v/>
      </c>
    </row>
    <row r="107" spans="2:11" x14ac:dyDescent="0.25">
      <c r="B107" s="18">
        <v>90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IF(C106=$F$11,SUM($F$18:F106),IF(C107=B107,IF(C107=$F$11,I106,ROUND(H107-G107,2)),""))</f>
        <v/>
      </c>
      <c r="G107" s="17" t="str">
        <f>IF(C106=$F$11,SUM($G$18:G106),IF(C107=B107,ROUND(((($F$13+1)^((D107-D106)/360))-1)*I106,2),""))</f>
        <v/>
      </c>
      <c r="H107" s="17" t="str">
        <f>IF(C106=$F$11,SUM($H$18:H106),IF(C107=B107,IF(C107=$F$11,F107+G107,ROUND($I$17/VLOOKUP("Totales",$D$18:$K$117,8,FALSE),2)),""))</f>
        <v/>
      </c>
      <c r="I107" s="17" t="str">
        <f t="shared" si="5"/>
        <v/>
      </c>
      <c r="J107" s="17"/>
      <c r="K107" s="25" t="str">
        <f>IF(C106=$F$11,SUM($K$18:K106),IF(C107=B107,1/((1+$F$14)^SUM($E$18:E107)),""))</f>
        <v/>
      </c>
    </row>
    <row r="108" spans="2:11" x14ac:dyDescent="0.25">
      <c r="B108" s="18">
        <v>91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IF(C107=$F$11,SUM($F$18:F107),IF(C108=B108,IF(C108=$F$11,I107,ROUND(H108-G108,2)),""))</f>
        <v/>
      </c>
      <c r="G108" s="17" t="str">
        <f>IF(C107=$F$11,SUM($G$18:G107),IF(C108=B108,ROUND(((($F$13+1)^((D108-D107)/360))-1)*I107,2),""))</f>
        <v/>
      </c>
      <c r="H108" s="17" t="str">
        <f>IF(C107=$F$11,SUM($H$18:H107),IF(C108=B108,IF(C108=$F$11,F108+G108,ROUND($I$17/VLOOKUP("Totales",$D$18:$K$117,8,FALSE),2)),""))</f>
        <v/>
      </c>
      <c r="I108" s="17" t="str">
        <f t="shared" si="5"/>
        <v/>
      </c>
      <c r="J108" s="17"/>
      <c r="K108" s="25" t="str">
        <f>IF(C107=$F$11,SUM($K$18:K107),IF(C108=B108,1/((1+$F$14)^SUM($E$18:E108)),""))</f>
        <v/>
      </c>
    </row>
    <row r="109" spans="2:11" x14ac:dyDescent="0.25">
      <c r="B109" s="18">
        <v>92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IF(C108=$F$11,SUM($F$18:F108),IF(C109=B109,IF(C109=$F$11,I108,ROUND(H109-G109,2)),""))</f>
        <v/>
      </c>
      <c r="G109" s="17" t="str">
        <f>IF(C108=$F$11,SUM($G$18:G108),IF(C109=B109,ROUND(((($F$13+1)^((D109-D108)/360))-1)*I108,2),""))</f>
        <v/>
      </c>
      <c r="H109" s="17" t="str">
        <f>IF(C108=$F$11,SUM($H$18:H108),IF(C109=B109,IF(C109=$F$11,F109+G109,ROUND($I$17/VLOOKUP("Totales",$D$18:$K$117,8,FALSE),2)),""))</f>
        <v/>
      </c>
      <c r="I109" s="17" t="str">
        <f t="shared" si="5"/>
        <v/>
      </c>
      <c r="J109" s="17"/>
      <c r="K109" s="25" t="str">
        <f>IF(C108=$F$11,SUM($K$18:K108),IF(C109=B109,1/((1+$F$14)^SUM($E$18:E109)),""))</f>
        <v/>
      </c>
    </row>
    <row r="110" spans="2:11" x14ac:dyDescent="0.25">
      <c r="B110" s="18">
        <v>93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IF(C109=$F$11,SUM($F$18:F109),IF(C110=B110,IF(C110=$F$11,I109,ROUND(H110-G110,2)),""))</f>
        <v/>
      </c>
      <c r="G110" s="17" t="str">
        <f>IF(C109=$F$11,SUM($G$18:G109),IF(C110=B110,ROUND(((($F$13+1)^((D110-D109)/360))-1)*I109,2),""))</f>
        <v/>
      </c>
      <c r="H110" s="17" t="str">
        <f>IF(C109=$F$11,SUM($H$18:H109),IF(C110=B110,IF(C110=$F$11,F110+G110,ROUND($I$17/VLOOKUP("Totales",$D$18:$K$117,8,FALSE),2)),""))</f>
        <v/>
      </c>
      <c r="I110" s="17" t="str">
        <f t="shared" si="5"/>
        <v/>
      </c>
      <c r="J110" s="17"/>
      <c r="K110" s="25" t="str">
        <f>IF(C109=$F$11,SUM($K$18:K109),IF(C110=B110,1/((1+$F$14)^SUM($E$18:E110)),""))</f>
        <v/>
      </c>
    </row>
    <row r="111" spans="2:11" x14ac:dyDescent="0.25">
      <c r="B111" s="18">
        <v>94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IF(C110=$F$11,SUM($F$18:F110),IF(C111=B111,IF(C111=$F$11,I110,ROUND(H111-G111,2)),""))</f>
        <v/>
      </c>
      <c r="G111" s="17" t="str">
        <f>IF(C110=$F$11,SUM($G$18:G110),IF(C111=B111,ROUND(((($F$13+1)^((D111-D110)/360))-1)*I110,2),""))</f>
        <v/>
      </c>
      <c r="H111" s="17" t="str">
        <f>IF(C110=$F$11,SUM($H$18:H110),IF(C111=B111,IF(C111=$F$11,F111+G111,ROUND($I$17/VLOOKUP("Totales",$D$18:$K$117,8,FALSE),2)),""))</f>
        <v/>
      </c>
      <c r="I111" s="17" t="str">
        <f t="shared" si="5"/>
        <v/>
      </c>
      <c r="J111" s="17"/>
      <c r="K111" s="25" t="str">
        <f>IF(C110=$F$11,SUM($K$18:K110),IF(C111=B111,1/((1+$F$14)^SUM($E$18:E111)),""))</f>
        <v/>
      </c>
    </row>
    <row r="112" spans="2:11" x14ac:dyDescent="0.25">
      <c r="B112" s="18">
        <v>95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IF(C111=$F$11,SUM($F$18:F111),IF(C112=B112,IF(C112=$F$11,I111,ROUND(H112-G112,2)),""))</f>
        <v/>
      </c>
      <c r="G112" s="17" t="str">
        <f>IF(C111=$F$11,SUM($G$18:G111),IF(C112=B112,ROUND(((($F$13+1)^((D112-D111)/360))-1)*I111,2),""))</f>
        <v/>
      </c>
      <c r="H112" s="17" t="str">
        <f>IF(C111=$F$11,SUM($H$18:H111),IF(C112=B112,IF(C112=$F$11,F112+G112,ROUND($I$17/VLOOKUP("Totales",$D$18:$K$117,8,FALSE),2)),""))</f>
        <v/>
      </c>
      <c r="I112" s="17" t="str">
        <f t="shared" si="5"/>
        <v/>
      </c>
      <c r="J112" s="17"/>
      <c r="K112" s="25" t="str">
        <f>IF(C111=$F$11,SUM($K$18:K111),IF(C112=B112,1/((1+$F$14)^SUM($E$18:E112)),""))</f>
        <v/>
      </c>
    </row>
    <row r="113" spans="2:11" x14ac:dyDescent="0.25">
      <c r="B113" s="18">
        <v>96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IF(C112=$F$11,SUM($F$18:F112),IF(C113=B113,IF(C113=$F$11,I112,ROUND(H113-G113,2)),""))</f>
        <v/>
      </c>
      <c r="G113" s="17" t="str">
        <f>IF(C112=$F$11,SUM($G$18:G112),IF(C113=B113,ROUND(((($F$13+1)^((D113-D112)/360))-1)*I112,2),""))</f>
        <v/>
      </c>
      <c r="H113" s="17" t="str">
        <f>IF(C112=$F$11,SUM($H$18:H112),IF(C113=B113,IF(C113=$F$11,F113+G113,ROUND($I$17/VLOOKUP("Totales",$D$18:$K$117,8,FALSE),2)),""))</f>
        <v/>
      </c>
      <c r="I113" s="17" t="str">
        <f t="shared" si="5"/>
        <v/>
      </c>
      <c r="J113" s="17"/>
      <c r="K113" s="25" t="str">
        <f>IF(C112=$F$11,SUM($K$18:K112),IF(C113=B113,1/((1+$F$14)^SUM($E$18:E113)),""))</f>
        <v/>
      </c>
    </row>
    <row r="114" spans="2:11" x14ac:dyDescent="0.25">
      <c r="B114" s="18">
        <v>97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IF(C113=$F$11,SUM($F$18:F113),IF(C114=B114,IF(C114=$F$11,I113,ROUND(H114-G114,2)),""))</f>
        <v/>
      </c>
      <c r="G114" s="17" t="str">
        <f>IF(C113=$F$11,SUM($G$18:G113),IF(C114=B114,ROUND(((($F$13+1)^((D114-D113)/360))-1)*I113,2),""))</f>
        <v/>
      </c>
      <c r="H114" s="17" t="str">
        <f>IF(C113=$F$11,SUM($H$18:H113),IF(C114=B114,IF(C114=$F$11,F114+G114,ROUND($I$17/VLOOKUP("Totales",$D$18:$K$117,8,FALSE),2)),""))</f>
        <v/>
      </c>
      <c r="I114" s="17" t="str">
        <f t="shared" si="5"/>
        <v/>
      </c>
      <c r="J114" s="17"/>
      <c r="K114" s="25" t="str">
        <f>IF(C113=$F$11,SUM($K$18:K113),IF(C114=B114,1/((1+$F$14)^SUM($E$18:E114)),""))</f>
        <v/>
      </c>
    </row>
    <row r="115" spans="2:11" x14ac:dyDescent="0.25">
      <c r="B115" s="18">
        <v>98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IF(C114=$F$11,SUM($F$18:F114),IF(C115=B115,IF(C115=$F$11,I114,ROUND(H115-G115,2)),""))</f>
        <v/>
      </c>
      <c r="G115" s="17" t="str">
        <f>IF(C114=$F$11,SUM($G$18:G114),IF(C115=B115,ROUND(((($F$13+1)^((D115-D114)/360))-1)*I114,2),""))</f>
        <v/>
      </c>
      <c r="H115" s="17" t="str">
        <f>IF(C114=$F$11,SUM($H$18:H114),IF(C115=B115,IF(C115=$F$11,F115+G115,ROUND($I$17/VLOOKUP("Totales",$D$18:$K$117,8,FALSE),2)),""))</f>
        <v/>
      </c>
      <c r="I115" s="17" t="str">
        <f t="shared" si="5"/>
        <v/>
      </c>
      <c r="J115" s="17"/>
      <c r="K115" s="25" t="str">
        <f>IF(C114=$F$11,SUM($K$18:K114),IF(C115=B115,1/((1+$F$14)^SUM($E$18:E115)),""))</f>
        <v/>
      </c>
    </row>
    <row r="116" spans="2:11" x14ac:dyDescent="0.25">
      <c r="B116" s="18">
        <v>99</v>
      </c>
      <c r="C116" s="19" t="str">
        <f t="shared" si="6"/>
        <v/>
      </c>
      <c r="D116" s="20" t="str">
        <f t="shared" si="7"/>
        <v/>
      </c>
      <c r="E116" s="23" t="str">
        <f t="shared" si="4"/>
        <v/>
      </c>
      <c r="F116" s="17" t="str">
        <f>IF(C115=$F$11,SUM($F$18:F115),IF(C116=B116,IF(C116=$F$11,I115,ROUND(H116-G116,2)),""))</f>
        <v/>
      </c>
      <c r="G116" s="17" t="str">
        <f>IF(C115=$F$11,SUM($G$18:G115),IF(C116=B116,ROUND(((($F$13+1)^((D116-D115)/360))-1)*I115,2),""))</f>
        <v/>
      </c>
      <c r="H116" s="17" t="str">
        <f>IF(C115=$F$11,SUM($H$18:H115),IF(C116=B116,IF(C116=$F$11,F116+G116,ROUND($I$17/VLOOKUP("Totales",$D$18:$K$117,8,FALSE),2)),""))</f>
        <v/>
      </c>
      <c r="I116" s="17" t="str">
        <f t="shared" si="5"/>
        <v/>
      </c>
      <c r="J116" s="17"/>
      <c r="K116" s="25" t="str">
        <f>IF(C115=$F$11,SUM($K$18:K115),IF(C116=B116,1/((1+$F$14)^SUM($E$18:E116)),""))</f>
        <v/>
      </c>
    </row>
    <row r="117" spans="2:11" x14ac:dyDescent="0.25">
      <c r="B117" s="18">
        <v>100</v>
      </c>
      <c r="C117" s="19" t="str">
        <f t="shared" si="6"/>
        <v/>
      </c>
      <c r="D117" s="20" t="str">
        <f t="shared" ref="D117" si="8">IF(C116=$F$11,"Totales",IF(B117&lt;=$F$11,DATE(IF(MONTH(D116)=12,YEAR(D116)+1,YEAR(D116)),IF(MONTH(D116)=12,1,MONTH(D116)+1),10),""))</f>
        <v/>
      </c>
      <c r="E117" s="23" t="str">
        <f t="shared" si="4"/>
        <v/>
      </c>
      <c r="F117" s="17" t="str">
        <f>IF(C116=$F$11,SUM($F$18:F116),IF(C117=B117,IF(C117=$F$11,I116,ROUND(H117-G117,2)),""))</f>
        <v/>
      </c>
      <c r="G117" s="17" t="str">
        <f>IF(C116=$F$11,SUM($G$18:G116),IF(C117=B117,ROUND(((($F$13+1)^((D117-D116)/360))-1)*I116,2),""))</f>
        <v/>
      </c>
      <c r="H117" s="17" t="str">
        <f>IF(C116=$F$11,SUM($H$18:H116),IF(C117=B117,IF(C117=$F$11,F117+G117,ROUND($I$17/VLOOKUP("Totales",$D$18:$K$117,8,FALSE),2)),""))</f>
        <v/>
      </c>
      <c r="I117" s="17" t="str">
        <f t="shared" si="5"/>
        <v/>
      </c>
      <c r="J117" s="17"/>
      <c r="K117" s="25" t="str">
        <f>IF(C116=$F$11,SUM($K$18:K116),IF(C117=B117,1/((1+$F$14)^SUM($E$18:E117)),""))</f>
        <v/>
      </c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  <row r="129" spans="2:2" x14ac:dyDescent="0.25">
      <c r="B129" s="18"/>
    </row>
  </sheetData>
  <sheetProtection sheet="1" objects="1" scenarios="1" selectLockedCells="1"/>
  <mergeCells count="11">
    <mergeCell ref="C2:I2"/>
    <mergeCell ref="C3:I3"/>
    <mergeCell ref="F12:I12"/>
    <mergeCell ref="F13:I13"/>
    <mergeCell ref="F14:I14"/>
    <mergeCell ref="C6:F6"/>
    <mergeCell ref="C7:F7"/>
    <mergeCell ref="C8:I8"/>
    <mergeCell ref="C9:I9"/>
    <mergeCell ref="F10:I10"/>
    <mergeCell ref="F11:I11"/>
  </mergeCells>
  <conditionalFormatting sqref="J16 L66:M68 C117:K117 F10:F11 C106:C116 E106:K116">
    <cfRule type="cellIs" dxfId="12" priority="4" stopIfTrue="1" operator="notEqual">
      <formula>""</formula>
    </cfRule>
  </conditionalFormatting>
  <conditionalFormatting sqref="J18:J65 K18:K105 C17:I18 C19:C105 E19:I65 E66:J105 D19:D116">
    <cfRule type="cellIs" dxfId="11" priority="3" stopIfTrue="1" operator="notEqual">
      <formula>""</formula>
    </cfRule>
  </conditionalFormatting>
  <conditionalFormatting sqref="F12">
    <cfRule type="cellIs" dxfId="10" priority="2" stopIfTrue="1" operator="notEqual">
      <formula>""</formula>
    </cfRule>
  </conditionalFormatting>
  <dataValidations count="1">
    <dataValidation type="list" allowBlank="1" showInputMessage="1" showErrorMessage="1" errorTitle="PÑPÑ" error="ZXCB" sqref="C8:I8" xr:uid="{00000000-0002-0000-0400-000000000000}">
      <formula1>$K$4:$K$5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9"/>
  <sheetViews>
    <sheetView showGridLines="0" topLeftCell="B1" zoomScale="85" zoomScaleNormal="85" zoomScaleSheetLayoutView="90" workbookViewId="0">
      <selection activeCell="F11" sqref="F11:I11"/>
    </sheetView>
  </sheetViews>
  <sheetFormatPr baseColWidth="10" defaultColWidth="11.453125" defaultRowHeight="12.5" x14ac:dyDescent="0.25"/>
  <cols>
    <col min="1" max="1" width="0" style="1" hidden="1" customWidth="1"/>
    <col min="2" max="2" width="4.1796875" style="1" customWidth="1"/>
    <col min="3" max="3" width="9.7265625" style="1" customWidth="1"/>
    <col min="4" max="4" width="15.81640625" style="1" customWidth="1"/>
    <col min="5" max="5" width="10.54296875" style="1" hidden="1" customWidth="1"/>
    <col min="6" max="6" width="17" style="1" customWidth="1"/>
    <col min="7" max="7" width="17.26953125" style="1" customWidth="1"/>
    <col min="8" max="8" width="19.26953125" style="1" customWidth="1"/>
    <col min="9" max="9" width="18.1796875" style="1" customWidth="1"/>
    <col min="10" max="10" width="11.1796875" style="1" customWidth="1"/>
    <col min="11" max="11" width="25" style="1" hidden="1" customWidth="1"/>
    <col min="12" max="12" width="12" style="1" hidden="1" customWidth="1"/>
    <col min="13" max="13" width="8.81640625" style="1" hidden="1" customWidth="1"/>
    <col min="14" max="14" width="11.81640625" style="1" bestFit="1" customWidth="1"/>
    <col min="15" max="16384" width="11.453125" style="1"/>
  </cols>
  <sheetData>
    <row r="1" spans="3:15" x14ac:dyDescent="0.25">
      <c r="D1" s="2"/>
    </row>
    <row r="2" spans="3:15" ht="36" customHeight="1" x14ac:dyDescent="0.25">
      <c r="C2" s="68" t="s">
        <v>22</v>
      </c>
      <c r="D2" s="68"/>
      <c r="E2" s="68"/>
      <c r="F2" s="68"/>
      <c r="G2" s="68"/>
      <c r="H2" s="68"/>
      <c r="I2" s="68"/>
    </row>
    <row r="3" spans="3:15" ht="15" customHeight="1" x14ac:dyDescent="0.25">
      <c r="C3" s="68"/>
      <c r="D3" s="68"/>
      <c r="E3" s="68"/>
      <c r="F3" s="68"/>
      <c r="G3" s="68"/>
      <c r="H3" s="68"/>
      <c r="I3" s="68"/>
    </row>
    <row r="4" spans="3:15" ht="16.5" customHeight="1" x14ac:dyDescent="0.3">
      <c r="C4" s="3" t="s">
        <v>20</v>
      </c>
      <c r="K4" s="1" t="s">
        <v>0</v>
      </c>
    </row>
    <row r="5" spans="3:15" ht="9" customHeight="1" x14ac:dyDescent="0.25">
      <c r="K5" s="1" t="s">
        <v>1</v>
      </c>
    </row>
    <row r="6" spans="3:15" s="40" customFormat="1" ht="11.25" customHeight="1" x14ac:dyDescent="0.25">
      <c r="C6" s="54" t="str">
        <f>IF((D17+SUM(E18:E117))&gt;46387,"No cumple condición crediticia:","")</f>
        <v/>
      </c>
      <c r="D6" s="54"/>
      <c r="E6" s="54"/>
      <c r="F6" s="54"/>
    </row>
    <row r="7" spans="3:15" s="40" customFormat="1" ht="7.5" customHeight="1" x14ac:dyDescent="0.25">
      <c r="C7" s="55" t="str">
        <f>IF(C6="No cumple condición crediticia:","Reducir plazo del préstamo","")</f>
        <v/>
      </c>
      <c r="D7" s="55"/>
      <c r="E7" s="55"/>
      <c r="F7" s="55"/>
    </row>
    <row r="8" spans="3:15" ht="13.5" customHeight="1" x14ac:dyDescent="0.25">
      <c r="C8" s="56" t="s">
        <v>0</v>
      </c>
      <c r="D8" s="57"/>
      <c r="E8" s="57"/>
      <c r="F8" s="57"/>
      <c r="G8" s="57"/>
      <c r="H8" s="57"/>
      <c r="I8" s="58"/>
    </row>
    <row r="9" spans="3:15" s="4" customFormat="1" ht="12.75" customHeight="1" x14ac:dyDescent="0.25">
      <c r="C9" s="59" t="s">
        <v>2</v>
      </c>
      <c r="D9" s="60"/>
      <c r="E9" s="60"/>
      <c r="F9" s="60"/>
      <c r="G9" s="60"/>
      <c r="H9" s="60"/>
      <c r="I9" s="60"/>
      <c r="J9" s="1"/>
      <c r="N9" s="1"/>
      <c r="O9" s="1"/>
    </row>
    <row r="10" spans="3:15" x14ac:dyDescent="0.25">
      <c r="C10" s="5" t="s">
        <v>3</v>
      </c>
      <c r="D10" s="6"/>
      <c r="E10" s="7"/>
      <c r="F10" s="61">
        <v>3000000</v>
      </c>
      <c r="G10" s="62"/>
      <c r="H10" s="62"/>
      <c r="I10" s="63"/>
      <c r="J10" s="8"/>
      <c r="K10" s="4"/>
      <c r="L10" s="9" t="s">
        <v>4</v>
      </c>
      <c r="M10" s="10" t="s">
        <v>5</v>
      </c>
    </row>
    <row r="11" spans="3:15" x14ac:dyDescent="0.25">
      <c r="C11" s="5" t="s">
        <v>6</v>
      </c>
      <c r="D11" s="6"/>
      <c r="E11" s="7"/>
      <c r="F11" s="64">
        <v>44</v>
      </c>
      <c r="G11" s="65"/>
      <c r="H11" s="65"/>
      <c r="I11" s="66"/>
      <c r="J11" s="8"/>
      <c r="K11" s="11">
        <f>IF($C$8="GOBIERNOS LOCALES",M11,L11)</f>
        <v>8.2500000000000004E-2</v>
      </c>
      <c r="L11" s="12">
        <f>IF($F$10&gt;1000000,7.75%,8.75%)</f>
        <v>7.7499999999999999E-2</v>
      </c>
      <c r="M11" s="12">
        <f>IF($F$10&gt;1000000,8.25%,9.25%)</f>
        <v>8.2500000000000004E-2</v>
      </c>
    </row>
    <row r="12" spans="3:15" x14ac:dyDescent="0.25">
      <c r="C12" s="5" t="s">
        <v>7</v>
      </c>
      <c r="D12" s="6"/>
      <c r="E12" s="7"/>
      <c r="F12" s="45">
        <v>45037</v>
      </c>
      <c r="G12" s="46"/>
      <c r="H12" s="46"/>
      <c r="I12" s="47"/>
      <c r="J12" s="13"/>
      <c r="K12" s="11">
        <f>IF($C$8="GOBIERNOS LOCALES",M12,L12)</f>
        <v>9.2499999999999999E-2</v>
      </c>
      <c r="L12" s="12">
        <f>IF($F$10&gt;1000000,8.25%,9.25%)</f>
        <v>8.2500000000000004E-2</v>
      </c>
      <c r="M12" s="12">
        <f>IF($F$10&gt;1000000,9.25%,10.25%)</f>
        <v>9.2499999999999999E-2</v>
      </c>
    </row>
    <row r="13" spans="3:15" x14ac:dyDescent="0.25">
      <c r="C13" s="5" t="s">
        <v>8</v>
      </c>
      <c r="D13" s="6"/>
      <c r="E13" s="7"/>
      <c r="F13" s="48">
        <f>IF(AND(F11&gt;=1,F11&lt;=12),K11,IF(AND(F11&lt;=24,F11&gt;12),K12,IF(AND(F11&lt;=36,F11&gt;24),K13,IF(AND(F11&lt;=60,F11&gt;36),K14,"No aplicable"))))</f>
        <v>0.1275</v>
      </c>
      <c r="G13" s="49"/>
      <c r="H13" s="49"/>
      <c r="I13" s="50"/>
      <c r="J13" s="14"/>
      <c r="K13" s="11">
        <f>IF($C$8="GOBIERNOS LOCALES",M13,L13)</f>
        <v>0.10249999999999999</v>
      </c>
      <c r="L13" s="12">
        <f>IF($F$10&gt;1000000,9.25%,10.25%)</f>
        <v>9.2499999999999999E-2</v>
      </c>
      <c r="M13" s="12">
        <f>IF($F$10&gt;1000000,10.25%,11.25%)</f>
        <v>0.10249999999999999</v>
      </c>
    </row>
    <row r="14" spans="3:15" hidden="1" x14ac:dyDescent="0.25">
      <c r="C14" s="5" t="s">
        <v>9</v>
      </c>
      <c r="D14" s="6"/>
      <c r="E14" s="7"/>
      <c r="F14" s="51">
        <f>((F13+1)^(1/360))-1</f>
        <v>3.3339665430021093E-4</v>
      </c>
      <c r="G14" s="52"/>
      <c r="H14" s="52"/>
      <c r="I14" s="53"/>
      <c r="K14" s="11">
        <f>IF($C$8="GOBIERNOS LOCALES",M14,L14)</f>
        <v>0.1275</v>
      </c>
      <c r="L14" s="12">
        <f>IF($F$10&gt;1000000,11.75%,12.75%)</f>
        <v>0.11749999999999999</v>
      </c>
      <c r="M14" s="12">
        <f>IF($F$10&gt;1000000,12.75%,13.75%)</f>
        <v>0.1275</v>
      </c>
    </row>
    <row r="15" spans="3:15" ht="9.75" customHeight="1" x14ac:dyDescent="0.25">
      <c r="I15" s="15"/>
    </row>
    <row r="16" spans="3:15" x14ac:dyDescent="0.25">
      <c r="C16" s="16" t="s">
        <v>10</v>
      </c>
      <c r="D16" s="16" t="s">
        <v>11</v>
      </c>
      <c r="E16" s="16" t="s">
        <v>12</v>
      </c>
      <c r="F16" s="16" t="s">
        <v>13</v>
      </c>
      <c r="G16" s="16" t="s">
        <v>14</v>
      </c>
      <c r="H16" s="16" t="s">
        <v>15</v>
      </c>
      <c r="I16" s="16" t="s">
        <v>16</v>
      </c>
      <c r="J16" s="17"/>
      <c r="K16" s="16" t="s">
        <v>9</v>
      </c>
    </row>
    <row r="17" spans="2:13" ht="12.75" customHeight="1" x14ac:dyDescent="0.25">
      <c r="B17" s="18">
        <v>0</v>
      </c>
      <c r="C17" s="19">
        <v>0</v>
      </c>
      <c r="D17" s="20">
        <f>+F12</f>
        <v>45037</v>
      </c>
      <c r="E17" s="20"/>
      <c r="F17" s="21">
        <v>0</v>
      </c>
      <c r="G17" s="21">
        <v>0</v>
      </c>
      <c r="H17" s="21">
        <v>0</v>
      </c>
      <c r="I17" s="17">
        <f>+F10</f>
        <v>3000000</v>
      </c>
      <c r="K17" s="22"/>
    </row>
    <row r="18" spans="2:13" x14ac:dyDescent="0.25">
      <c r="B18" s="18">
        <v>1</v>
      </c>
      <c r="C18" s="19">
        <f>IF(B18&lt;=$F$11,B18,"")</f>
        <v>1</v>
      </c>
      <c r="D18" s="20">
        <f>IF(C17=$F$11,"Totales",IF(B18&lt;=$F$11,DATE(IF(MONTH(D17)=12,YEAR(D17)+1,YEAR(D17)),IF(MONTH(D17)=12,1,IF(DAY(D17)&lt;10,MONTH(D17),MONTH(D17)+1)),28),""))</f>
        <v>45074</v>
      </c>
      <c r="E18" s="23">
        <f t="shared" ref="E18:E63" si="0">IF(C18=B18,D18-D17,"")</f>
        <v>37</v>
      </c>
      <c r="F18" s="17">
        <f>IF(C17=$F$11,SUM($F17:F$18),IF(C18=B18,IF(C18=$F$11,I17,ROUND(H18-G18,2)),""))</f>
        <v>47949.2</v>
      </c>
      <c r="G18" s="17">
        <f>IF(C17=$F$11,SUM($G17:G$18),IF(C18=B18,ROUND(((($F$13+1)^((D18-D17)/360))-1)*I17,2),""))</f>
        <v>37229.980000000003</v>
      </c>
      <c r="H18" s="17">
        <f>IF(C17=$F$11,SUM($H17:H$18),IF(C18=B18,IF(C18=$F$11,F18+G18,ROUND($I$17/VLOOKUP("Totales",$D$18:$K$117,8,FALSE),2)),""))</f>
        <v>85179.18</v>
      </c>
      <c r="I18" s="17">
        <f>IF(C18=B18,ROUND(I17-F18,2),"")</f>
        <v>2952050.8</v>
      </c>
      <c r="J18" s="24"/>
      <c r="K18" s="25">
        <f>IF(C17=$F$11,SUM($K17:K$18),IF(C18=B18,1/((1+$F$14)^SUM($E$18:E18)),""))</f>
        <v>0.98774212703288089</v>
      </c>
      <c r="L18" s="26"/>
      <c r="M18" s="26"/>
    </row>
    <row r="19" spans="2:13" x14ac:dyDescent="0.25">
      <c r="B19" s="18">
        <v>2</v>
      </c>
      <c r="C19" s="19">
        <f t="shared" ref="C19:C82" si="1">IF(B19&lt;=$F$11,B19,"")</f>
        <v>2</v>
      </c>
      <c r="D19" s="20">
        <f t="shared" ref="D19:D82" si="2">IF(C18=$F$11,"Totales",IF(B19&lt;=$F$11,DATE(IF(MONTH(D18)=12,YEAR(D18)+1,YEAR(D18)),IF(MONTH(D18)=12,1,IF(DAY(D18)&lt;10,MONTH(D18),MONTH(D18)+1)),28),""))</f>
        <v>45105</v>
      </c>
      <c r="E19" s="23">
        <f t="shared" si="0"/>
        <v>31</v>
      </c>
      <c r="F19" s="17">
        <f>IF(C18=$F$11,SUM($F$18:F18),IF(C19=B19,IF(C19=$F$11,I18,ROUND(H19-G19,2)),""))</f>
        <v>54515.79</v>
      </c>
      <c r="G19" s="17">
        <f>IF(C18=$F$11,SUM($G$18:G18),IF(C19=B19,ROUND(((($F$13+1)^((D19-D18)/360))-1)*I18,2),""))</f>
        <v>30663.39</v>
      </c>
      <c r="H19" s="17">
        <f>IF(C18=$F$11,SUM($H18:H$18),IF(C19=B19,IF(C19=$F$11,F19+G19,ROUND($I$17/VLOOKUP("Totales",$D$18:$K$117,8,FALSE),2)),""))</f>
        <v>85179.18</v>
      </c>
      <c r="I19" s="17">
        <f t="shared" ref="I19:I66" si="3">IF(C19=B19,ROUND(I18-F19,2),"")</f>
        <v>2897535.01</v>
      </c>
      <c r="J19" s="24"/>
      <c r="K19" s="25">
        <f>IF(C18=$F$11,SUM($K$18:K18),IF(C19=B19,1/((1+$F$14)^SUM($E$18:E19)),""))</f>
        <v>0.97758777660183449</v>
      </c>
      <c r="L19" s="26"/>
    </row>
    <row r="20" spans="2:13" x14ac:dyDescent="0.25">
      <c r="B20" s="18">
        <v>3</v>
      </c>
      <c r="C20" s="19">
        <f t="shared" si="1"/>
        <v>3</v>
      </c>
      <c r="D20" s="20">
        <f t="shared" si="2"/>
        <v>45135</v>
      </c>
      <c r="E20" s="23">
        <f t="shared" si="0"/>
        <v>30</v>
      </c>
      <c r="F20" s="17">
        <f>IF(C19=$F$11,SUM($F$18:F19),IF(C20=B20,IF(C20=$F$11,I19,ROUND(H20-G20,2)),""))</f>
        <v>56057.79</v>
      </c>
      <c r="G20" s="17">
        <f>IF(C19=$F$11,SUM($G$18:G19),IF(C20=B20,ROUND(((($F$13+1)^((D20-D19)/360))-1)*I19,2),""))</f>
        <v>29121.39</v>
      </c>
      <c r="H20" s="17">
        <f>IF(C19=$F$11,SUM($H$18:H19),IF(C20=B20,IF(C20=$F$11,F20+G20,ROUND($I$17/VLOOKUP("Totales",$D$18:$K$117,8,FALSE),2)),""))</f>
        <v>85179.18</v>
      </c>
      <c r="I20" s="17">
        <f t="shared" si="3"/>
        <v>2841477.22</v>
      </c>
      <c r="J20" s="24"/>
      <c r="K20" s="25">
        <f>IF(C19=$F$11,SUM($K$18:K19),IF(C20=B20,1/((1+$F$14)^SUM($E$18:E20)),""))</f>
        <v>0.96786039047915151</v>
      </c>
      <c r="L20" s="26"/>
    </row>
    <row r="21" spans="2:13" x14ac:dyDescent="0.25">
      <c r="B21" s="18">
        <v>4</v>
      </c>
      <c r="C21" s="19">
        <f t="shared" si="1"/>
        <v>4</v>
      </c>
      <c r="D21" s="20">
        <f t="shared" si="2"/>
        <v>45166</v>
      </c>
      <c r="E21" s="23">
        <f t="shared" si="0"/>
        <v>31</v>
      </c>
      <c r="F21" s="17">
        <f>IF(C20=$F$11,SUM($F$18:F20),IF(C21=B21,IF(C21=$F$11,I20,ROUND(H21-G21,2)),""))</f>
        <v>55664.33</v>
      </c>
      <c r="G21" s="17">
        <f>IF(C20=$F$11,SUM($G$18:G20),IF(C21=B21,ROUND(((($F$13+1)^((D21-D20)/360))-1)*I20,2),""))</f>
        <v>29514.85</v>
      </c>
      <c r="H21" s="17">
        <f>IF(C20=$F$11,SUM($H$18:H20),IF(C21=B21,IF(C21=$F$11,F21+G21,ROUND($I$17/VLOOKUP("Totales",$D$18:$K$117,8,FALSE),2)),""))</f>
        <v>85179.18</v>
      </c>
      <c r="I21" s="17">
        <f t="shared" si="3"/>
        <v>2785812.89</v>
      </c>
      <c r="J21" s="24"/>
      <c r="K21" s="25">
        <f>IF(C20=$F$11,SUM($K$18:K20),IF(C21=B21,1/((1+$F$14)^SUM($E$18:E21)),""))</f>
        <v>0.95791043157360456</v>
      </c>
      <c r="L21" s="26"/>
    </row>
    <row r="22" spans="2:13" x14ac:dyDescent="0.25">
      <c r="B22" s="18">
        <v>5</v>
      </c>
      <c r="C22" s="19">
        <f t="shared" si="1"/>
        <v>5</v>
      </c>
      <c r="D22" s="20">
        <f t="shared" si="2"/>
        <v>45197</v>
      </c>
      <c r="E22" s="23">
        <f t="shared" si="0"/>
        <v>31</v>
      </c>
      <c r="F22" s="17">
        <f>IF(C21=$F$11,SUM($F$18:F21),IF(C22=B22,IF(C22=$F$11,I21,ROUND(H22-G22,2)),""))</f>
        <v>56242.52</v>
      </c>
      <c r="G22" s="17">
        <f>IF(C21=$F$11,SUM($G$18:G21),IF(C22=B22,ROUND(((($F$13+1)^((D22-D21)/360))-1)*I21,2),""))</f>
        <v>28936.66</v>
      </c>
      <c r="H22" s="17">
        <f>IF(C21=$F$11,SUM($H$18:H21),IF(C22=B22,IF(C22=$F$11,F22+G22,ROUND($I$17/VLOOKUP("Totales",$D$18:$K$117,8,FALSE),2)),""))</f>
        <v>85179.18</v>
      </c>
      <c r="I22" s="17">
        <f t="shared" si="3"/>
        <v>2729570.37</v>
      </c>
      <c r="J22" s="24"/>
      <c r="K22" s="25">
        <f>IF(C21=$F$11,SUM($K$18:K21),IF(C22=B22,1/((1+$F$14)^SUM($E$18:E22)),""))</f>
        <v>0.94806276188579597</v>
      </c>
      <c r="L22" s="26"/>
    </row>
    <row r="23" spans="2:13" x14ac:dyDescent="0.25">
      <c r="B23" s="18">
        <v>6</v>
      </c>
      <c r="C23" s="19">
        <f t="shared" si="1"/>
        <v>6</v>
      </c>
      <c r="D23" s="20">
        <f t="shared" si="2"/>
        <v>45227</v>
      </c>
      <c r="E23" s="23">
        <f t="shared" si="0"/>
        <v>30</v>
      </c>
      <c r="F23" s="17">
        <f>IF(C22=$F$11,SUM($F$18:F22),IF(C23=B23,IF(C23=$F$11,I22,ROUND(H23-G23,2)),""))</f>
        <v>57745.9</v>
      </c>
      <c r="G23" s="17">
        <f>IF(C22=$F$11,SUM($G$18:G22),IF(C23=B23,ROUND(((($F$13+1)^((D23-D22)/360))-1)*I22,2),""))</f>
        <v>27433.279999999999</v>
      </c>
      <c r="H23" s="17">
        <f>IF(C22=$F$11,SUM($H$18:H22),IF(C23=B23,IF(C23=$F$11,F23+G23,ROUND($I$17/VLOOKUP("Totales",$D$18:$K$117,8,FALSE),2)),""))</f>
        <v>85179.18</v>
      </c>
      <c r="I23" s="17">
        <f t="shared" si="3"/>
        <v>2671824.4700000002</v>
      </c>
      <c r="J23" s="24"/>
      <c r="K23" s="25">
        <f>IF(C22=$F$11,SUM($K$18:K22),IF(C23=B23,1/((1+$F$14)^SUM($E$18:E23)),""))</f>
        <v>0.93862916137019048</v>
      </c>
      <c r="L23" s="26"/>
    </row>
    <row r="24" spans="2:13" x14ac:dyDescent="0.25">
      <c r="B24" s="18">
        <v>7</v>
      </c>
      <c r="C24" s="19">
        <f t="shared" si="1"/>
        <v>7</v>
      </c>
      <c r="D24" s="20">
        <f t="shared" si="2"/>
        <v>45258</v>
      </c>
      <c r="E24" s="23">
        <f t="shared" si="0"/>
        <v>31</v>
      </c>
      <c r="F24" s="17">
        <f>IF(C23=$F$11,SUM($F$18:F23),IF(C24=B24,IF(C24=$F$11,I23,ROUND(H24-G24,2)),""))</f>
        <v>57426.54</v>
      </c>
      <c r="G24" s="17">
        <f>IF(C23=$F$11,SUM($G$18:G23),IF(C24=B24,ROUND(((($F$13+1)^((D24-D23)/360))-1)*I23,2),""))</f>
        <v>27752.639999999999</v>
      </c>
      <c r="H24" s="17">
        <f>IF(C23=$F$11,SUM($H$18:H23),IF(C24=B24,IF(C24=$F$11,F24+G24,ROUND($I$17/VLOOKUP("Totales",$D$18:$K$117,8,FALSE),2)),""))</f>
        <v>85179.18</v>
      </c>
      <c r="I24" s="17">
        <f t="shared" si="3"/>
        <v>2614397.9300000002</v>
      </c>
      <c r="J24" s="24"/>
      <c r="K24" s="25">
        <f>IF(C23=$F$11,SUM($K$18:K23),IF(C24=B24,1/((1+$F$14)^SUM($E$18:E24)),""))</f>
        <v>0.92897971019412007</v>
      </c>
      <c r="L24" s="26"/>
    </row>
    <row r="25" spans="2:13" x14ac:dyDescent="0.25">
      <c r="B25" s="18">
        <v>8</v>
      </c>
      <c r="C25" s="19">
        <f t="shared" si="1"/>
        <v>8</v>
      </c>
      <c r="D25" s="20">
        <f t="shared" si="2"/>
        <v>45288</v>
      </c>
      <c r="E25" s="23">
        <f t="shared" si="0"/>
        <v>30</v>
      </c>
      <c r="F25" s="17">
        <f>IF(C24=$F$11,SUM($F$18:F24),IF(C25=B25,IF(C25=$F$11,I24,ROUND(H25-G25,2)),""))</f>
        <v>58903.43</v>
      </c>
      <c r="G25" s="17">
        <f>IF(C24=$F$11,SUM($G$18:G24),IF(C25=B25,ROUND(((($F$13+1)^((D25-D24)/360))-1)*I24,2),""))</f>
        <v>26275.75</v>
      </c>
      <c r="H25" s="17">
        <f>IF(C24=$F$11,SUM($H$18:H24),IF(C25=B25,IF(C25=$F$11,F25+G25,ROUND($I$17/VLOOKUP("Totales",$D$18:$K$117,8,FALSE),2)),""))</f>
        <v>85179.18</v>
      </c>
      <c r="I25" s="17">
        <f t="shared" si="3"/>
        <v>2555494.5</v>
      </c>
      <c r="J25" s="24"/>
      <c r="K25" s="25">
        <f>IF(C24=$F$11,SUM($K$18:K24),IF(C25=B25,1/((1+$F$14)^SUM($E$18:E25)),""))</f>
        <v>0.91973599361185243</v>
      </c>
      <c r="L25" s="26"/>
    </row>
    <row r="26" spans="2:13" x14ac:dyDescent="0.25">
      <c r="B26" s="18">
        <v>9</v>
      </c>
      <c r="C26" s="19">
        <f t="shared" si="1"/>
        <v>9</v>
      </c>
      <c r="D26" s="20">
        <f t="shared" si="2"/>
        <v>45319</v>
      </c>
      <c r="E26" s="23">
        <f t="shared" si="0"/>
        <v>31</v>
      </c>
      <c r="F26" s="17">
        <f>IF(C25=$F$11,SUM($F$18:F25),IF(C26=B26,IF(C26=$F$11,I25,ROUND(H26-G26,2)),""))</f>
        <v>58634.879999999997</v>
      </c>
      <c r="G26" s="17">
        <f>IF(C25=$F$11,SUM($G$18:G25),IF(C26=B26,ROUND(((($F$13+1)^((D26-D25)/360))-1)*I25,2),""))</f>
        <v>26544.3</v>
      </c>
      <c r="H26" s="17">
        <f>IF(C25=$F$11,SUM($H$18:H25),IF(C26=B26,IF(C26=$F$11,F26+G26,ROUND($I$17/VLOOKUP("Totales",$D$18:$K$117,8,FALSE),2)),""))</f>
        <v>85179.18</v>
      </c>
      <c r="I26" s="17">
        <f t="shared" si="3"/>
        <v>2496859.62</v>
      </c>
      <c r="J26" s="24"/>
      <c r="K26" s="25">
        <f>IF(C25=$F$11,SUM($K$18:K25),IF(C26=B26,1/((1+$F$14)^SUM($E$18:E26)),""))</f>
        <v>0.91028077111239669</v>
      </c>
      <c r="L26" s="26"/>
    </row>
    <row r="27" spans="2:13" x14ac:dyDescent="0.25">
      <c r="B27" s="18">
        <v>10</v>
      </c>
      <c r="C27" s="19">
        <f t="shared" si="1"/>
        <v>10</v>
      </c>
      <c r="D27" s="20">
        <f t="shared" si="2"/>
        <v>45350</v>
      </c>
      <c r="E27" s="23">
        <f t="shared" si="0"/>
        <v>31</v>
      </c>
      <c r="F27" s="17">
        <f>IF(C26=$F$11,SUM($F$18:F26),IF(C27=B27,IF(C27=$F$11,I26,ROUND(H27-G27,2)),""))</f>
        <v>59243.93</v>
      </c>
      <c r="G27" s="17">
        <f>IF(C26=$F$11,SUM($G$18:G26),IF(C27=B27,ROUND(((($F$13+1)^((D27-D26)/360))-1)*I26,2),""))</f>
        <v>25935.25</v>
      </c>
      <c r="H27" s="17">
        <f>IF(C26=$F$11,SUM($H$18:H26),IF(C27=B27,IF(C27=$F$11,F27+G27,ROUND($I$17/VLOOKUP("Totales",$D$18:$K$117,8,FALSE),2)),""))</f>
        <v>85179.18</v>
      </c>
      <c r="I27" s="17">
        <f t="shared" si="3"/>
        <v>2437615.69</v>
      </c>
      <c r="J27" s="24"/>
      <c r="K27" s="25">
        <f>IF(C26=$F$11,SUM($K$18:K26),IF(C27=B27,1/((1+$F$14)^SUM($E$18:E27)),""))</f>
        <v>0.90092275175942593</v>
      </c>
      <c r="L27" s="26"/>
    </row>
    <row r="28" spans="2:13" x14ac:dyDescent="0.25">
      <c r="B28" s="18">
        <v>11</v>
      </c>
      <c r="C28" s="19">
        <f t="shared" si="1"/>
        <v>11</v>
      </c>
      <c r="D28" s="20">
        <f t="shared" si="2"/>
        <v>45379</v>
      </c>
      <c r="E28" s="23">
        <f t="shared" si="0"/>
        <v>29</v>
      </c>
      <c r="F28" s="17">
        <f>IF(C27=$F$11,SUM($F$18:F27),IF(C28=B28,IF(C28=$F$11,I27,ROUND(H28-G28,2)),""))</f>
        <v>61500.75</v>
      </c>
      <c r="G28" s="17">
        <f>IF(C27=$F$11,SUM($G$18:G27),IF(C28=B28,ROUND(((($F$13+1)^((D28-D27)/360))-1)*I27,2),""))</f>
        <v>23678.43</v>
      </c>
      <c r="H28" s="17">
        <f>IF(C27=$F$11,SUM($H$18:H27),IF(C28=B28,IF(C28=$F$11,F28+G28,ROUND($I$17/VLOOKUP("Totales",$D$18:$K$117,8,FALSE),2)),""))</f>
        <v>85179.18</v>
      </c>
      <c r="I28" s="17">
        <f t="shared" si="3"/>
        <v>2376114.94</v>
      </c>
      <c r="J28" s="24"/>
      <c r="K28" s="25">
        <f>IF(C27=$F$11,SUM($K$18:K27),IF(C28=B28,1/((1+$F$14)^SUM($E$18:E28)),""))</f>
        <v>0.89225558892595813</v>
      </c>
      <c r="L28" s="26"/>
    </row>
    <row r="29" spans="2:13" x14ac:dyDescent="0.25">
      <c r="B29" s="18">
        <v>12</v>
      </c>
      <c r="C29" s="19">
        <f t="shared" si="1"/>
        <v>12</v>
      </c>
      <c r="D29" s="20">
        <f t="shared" si="2"/>
        <v>45410</v>
      </c>
      <c r="E29" s="23">
        <f t="shared" si="0"/>
        <v>31</v>
      </c>
      <c r="F29" s="17">
        <f>IF(C28=$F$11,SUM($F$18:F28),IF(C29=B29,IF(C29=$F$11,I28,ROUND(H29-G29,2)),""))</f>
        <v>60498.12</v>
      </c>
      <c r="G29" s="17">
        <f>IF(C28=$F$11,SUM($G$18:G28),IF(C29=B29,ROUND(((($F$13+1)^((D29-D28)/360))-1)*I28,2),""))</f>
        <v>24681.06</v>
      </c>
      <c r="H29" s="17">
        <f>IF(C28=$F$11,SUM($H$18:H28),IF(C29=B29,IF(C29=$F$11,F29+G29,ROUND($I$17/VLOOKUP("Totales",$D$18:$K$117,8,FALSE),2)),""))</f>
        <v>85179.18</v>
      </c>
      <c r="I29" s="17">
        <f t="shared" si="3"/>
        <v>2315616.8199999998</v>
      </c>
      <c r="J29" s="24"/>
      <c r="K29" s="25">
        <f>IF(C28=$F$11,SUM($K$18:K28),IF(C29=B29,1/((1+$F$14)^SUM($E$18:E29)),""))</f>
        <v>0.8830828750403712</v>
      </c>
      <c r="L29" s="26"/>
    </row>
    <row r="30" spans="2:13" x14ac:dyDescent="0.25">
      <c r="B30" s="18">
        <v>13</v>
      </c>
      <c r="C30" s="19">
        <f t="shared" si="1"/>
        <v>13</v>
      </c>
      <c r="D30" s="20">
        <f t="shared" si="2"/>
        <v>45440</v>
      </c>
      <c r="E30" s="23">
        <f t="shared" si="0"/>
        <v>30</v>
      </c>
      <c r="F30" s="17">
        <f>IF(C29=$F$11,SUM($F$18:F29),IF(C30=B30,IF(C30=$F$11,I29,ROUND(H30-G30,2)),""))</f>
        <v>61906.3</v>
      </c>
      <c r="G30" s="17">
        <f>IF(C29=$F$11,SUM($G$18:G29),IF(C30=B30,ROUND(((($F$13+1)^((D30-D29)/360))-1)*I29,2),""))</f>
        <v>23272.880000000001</v>
      </c>
      <c r="H30" s="17">
        <f>IF(C29=$F$11,SUM($H$18:H29),IF(C30=B30,IF(C30=$F$11,F30+G30,ROUND($I$17/VLOOKUP("Totales",$D$18:$K$117,8,FALSE),2)),""))</f>
        <v>85179.18</v>
      </c>
      <c r="I30" s="17">
        <f t="shared" si="3"/>
        <v>2253710.52</v>
      </c>
      <c r="J30" s="24"/>
      <c r="K30" s="25">
        <f>IF(C29=$F$11,SUM($K$18:K29),IF(C30=B30,1/((1+$F$14)^SUM($E$18:E30)),""))</f>
        <v>0.87429585017217304</v>
      </c>
      <c r="L30" s="26"/>
    </row>
    <row r="31" spans="2:13" x14ac:dyDescent="0.25">
      <c r="B31" s="18">
        <v>14</v>
      </c>
      <c r="C31" s="19">
        <f t="shared" si="1"/>
        <v>14</v>
      </c>
      <c r="D31" s="20">
        <f t="shared" si="2"/>
        <v>45471</v>
      </c>
      <c r="E31" s="23">
        <f t="shared" si="0"/>
        <v>31</v>
      </c>
      <c r="F31" s="17">
        <f>IF(C30=$F$11,SUM($F$18:F30),IF(C31=B31,IF(C31=$F$11,I30,ROUND(H31-G31,2)),""))</f>
        <v>61769.55</v>
      </c>
      <c r="G31" s="17">
        <f>IF(C30=$F$11,SUM($G$18:G30),IF(C31=B31,ROUND(((($F$13+1)^((D31-D30)/360))-1)*I30,2),""))</f>
        <v>23409.63</v>
      </c>
      <c r="H31" s="17">
        <f>IF(C30=$F$11,SUM($H$18:H30),IF(C31=B31,IF(C31=$F$11,F31+G31,ROUND($I$17/VLOOKUP("Totales",$D$18:$K$117,8,FALSE),2)),""))</f>
        <v>85179.18</v>
      </c>
      <c r="I31" s="17">
        <f t="shared" si="3"/>
        <v>2191940.9700000002</v>
      </c>
      <c r="J31" s="24"/>
      <c r="K31" s="25">
        <f>IF(C30=$F$11,SUM($K$18:K30),IF(C31=B31,1/((1+$F$14)^SUM($E$18:E31)),""))</f>
        <v>0.86530776897153983</v>
      </c>
      <c r="L31" s="26"/>
    </row>
    <row r="32" spans="2:13" x14ac:dyDescent="0.25">
      <c r="B32" s="18">
        <v>15</v>
      </c>
      <c r="C32" s="19">
        <f t="shared" si="1"/>
        <v>15</v>
      </c>
      <c r="D32" s="20">
        <f t="shared" si="2"/>
        <v>45501</v>
      </c>
      <c r="E32" s="23">
        <f t="shared" si="0"/>
        <v>30</v>
      </c>
      <c r="F32" s="17">
        <f>IF(C31=$F$11,SUM($F$18:F31),IF(C32=B32,IF(C32=$F$11,I31,ROUND(H32-G32,2)),""))</f>
        <v>63149.29</v>
      </c>
      <c r="G32" s="17">
        <f>IF(C31=$F$11,SUM($G$18:G31),IF(C32=B32,ROUND(((($F$13+1)^((D32-D31)/360))-1)*I31,2),""))</f>
        <v>22029.89</v>
      </c>
      <c r="H32" s="17">
        <f>IF(C31=$F$11,SUM($H$18:H31),IF(C32=B32,IF(C32=$F$11,F32+G32,ROUND($I$17/VLOOKUP("Totales",$D$18:$K$117,8,FALSE),2)),""))</f>
        <v>85179.18</v>
      </c>
      <c r="I32" s="17">
        <f t="shared" si="3"/>
        <v>2128791.6800000002</v>
      </c>
      <c r="J32" s="17"/>
      <c r="K32" s="25">
        <f>IF(C31=$F$11,SUM($K$18:K31),IF(C32=B32,1/((1+$F$14)^SUM($E$18:E32)),""))</f>
        <v>0.8566976134589549</v>
      </c>
    </row>
    <row r="33" spans="2:11" x14ac:dyDescent="0.25">
      <c r="B33" s="18">
        <v>16</v>
      </c>
      <c r="C33" s="19">
        <f t="shared" si="1"/>
        <v>16</v>
      </c>
      <c r="D33" s="20">
        <f t="shared" si="2"/>
        <v>45532</v>
      </c>
      <c r="E33" s="23">
        <f t="shared" si="0"/>
        <v>31</v>
      </c>
      <c r="F33" s="17">
        <f>IF(C32=$F$11,SUM($F$18:F32),IF(C33=B33,IF(C33=$F$11,I32,ROUND(H33-G33,2)),""))</f>
        <v>63067.1</v>
      </c>
      <c r="G33" s="17">
        <f>IF(C32=$F$11,SUM($G$18:G32),IF(C33=B33,ROUND(((($F$13+1)^((D33-D32)/360))-1)*I32,2),""))</f>
        <v>22112.080000000002</v>
      </c>
      <c r="H33" s="17">
        <f>IF(C32=$F$11,SUM($H$18:H32),IF(C33=B33,IF(C33=$F$11,F33+G33,ROUND($I$17/VLOOKUP("Totales",$D$18:$K$117,8,FALSE),2)),""))</f>
        <v>85179.18</v>
      </c>
      <c r="I33" s="17">
        <f t="shared" si="3"/>
        <v>2065724.58</v>
      </c>
      <c r="J33" s="17"/>
      <c r="K33" s="25">
        <f>IF(C32=$F$11,SUM($K$18:K32),IF(C33=B33,1/((1+$F$14)^SUM($E$18:E33)),""))</f>
        <v>0.84789044857004292</v>
      </c>
    </row>
    <row r="34" spans="2:11" x14ac:dyDescent="0.25">
      <c r="B34" s="18">
        <v>17</v>
      </c>
      <c r="C34" s="19">
        <f t="shared" si="1"/>
        <v>17</v>
      </c>
      <c r="D34" s="20">
        <f t="shared" si="2"/>
        <v>45563</v>
      </c>
      <c r="E34" s="23">
        <f t="shared" si="0"/>
        <v>31</v>
      </c>
      <c r="F34" s="17">
        <f>IF(C33=$F$11,SUM($F$18:F33),IF(C34=B34,IF(C34=$F$11,I33,ROUND(H34-G34,2)),""))</f>
        <v>63722.19</v>
      </c>
      <c r="G34" s="17">
        <f>IF(C33=$F$11,SUM($G$18:G33),IF(C34=B34,ROUND(((($F$13+1)^((D34-D33)/360))-1)*I33,2),""))</f>
        <v>21456.99</v>
      </c>
      <c r="H34" s="17">
        <f>IF(C33=$F$11,SUM($H$18:H33),IF(C34=B34,IF(C34=$F$11,F34+G34,ROUND($I$17/VLOOKUP("Totales",$D$18:$K$117,8,FALSE),2)),""))</f>
        <v>85179.18</v>
      </c>
      <c r="I34" s="17">
        <f t="shared" si="3"/>
        <v>2002002.39</v>
      </c>
      <c r="J34" s="17"/>
      <c r="K34" s="25">
        <f>IF(C33=$F$11,SUM($K$18:K33),IF(C34=B34,1/((1+$F$14)^SUM($E$18:E34)),""))</f>
        <v>0.83917382455828737</v>
      </c>
    </row>
    <row r="35" spans="2:11" x14ac:dyDescent="0.25">
      <c r="B35" s="18">
        <v>18</v>
      </c>
      <c r="C35" s="19">
        <f t="shared" si="1"/>
        <v>18</v>
      </c>
      <c r="D35" s="20">
        <f t="shared" si="2"/>
        <v>45593</v>
      </c>
      <c r="E35" s="23">
        <f t="shared" si="0"/>
        <v>30</v>
      </c>
      <c r="F35" s="17">
        <f>IF(C34=$F$11,SUM($F$18:F34),IF(C35=B35,IF(C35=$F$11,I34,ROUND(H35-G35,2)),""))</f>
        <v>65058.25</v>
      </c>
      <c r="G35" s="17">
        <f>IF(C34=$F$11,SUM($G$18:G34),IF(C35=B35,ROUND(((($F$13+1)^((D35-D34)/360))-1)*I34,2),""))</f>
        <v>20120.93</v>
      </c>
      <c r="H35" s="17">
        <f>IF(C34=$F$11,SUM($H$18:H34),IF(C35=B35,IF(C35=$F$11,F35+G35,ROUND($I$17/VLOOKUP("Totales",$D$18:$K$117,8,FALSE),2)),""))</f>
        <v>85179.18</v>
      </c>
      <c r="I35" s="17">
        <f t="shared" si="3"/>
        <v>1936944.14</v>
      </c>
      <c r="J35" s="17"/>
      <c r="K35" s="25">
        <f>IF(C34=$F$11,SUM($K$18:K34),IF(C35=B35,1/((1+$F$14)^SUM($E$18:E35)),""))</f>
        <v>0.83082371215825079</v>
      </c>
    </row>
    <row r="36" spans="2:11" x14ac:dyDescent="0.25">
      <c r="B36" s="18">
        <v>19</v>
      </c>
      <c r="C36" s="19">
        <f t="shared" si="1"/>
        <v>19</v>
      </c>
      <c r="D36" s="20">
        <f t="shared" si="2"/>
        <v>45624</v>
      </c>
      <c r="E36" s="23">
        <f t="shared" si="0"/>
        <v>31</v>
      </c>
      <c r="F36" s="17">
        <f>IF(C35=$F$11,SUM($F$18:F35),IF(C36=B36,IF(C36=$F$11,I35,ROUND(H36-G36,2)),""))</f>
        <v>65059.85</v>
      </c>
      <c r="G36" s="17">
        <f>IF(C35=$F$11,SUM($G$18:G35),IF(C36=B36,ROUND(((($F$13+1)^((D36-D35)/360))-1)*I35,2),""))</f>
        <v>20119.330000000002</v>
      </c>
      <c r="H36" s="17">
        <f>IF(C35=$F$11,SUM($H$18:H35),IF(C36=B36,IF(C36=$F$11,F36+G36,ROUND($I$17/VLOOKUP("Totales",$D$18:$K$117,8,FALSE),2)),""))</f>
        <v>85179.18</v>
      </c>
      <c r="I36" s="17">
        <f t="shared" si="3"/>
        <v>1871884.29</v>
      </c>
      <c r="J36" s="17"/>
      <c r="K36" s="25">
        <f>IF(C35=$F$11,SUM($K$18:K35),IF(C36=B36,1/((1+$F$14)^SUM($E$18:E36)),""))</f>
        <v>0.82228254044066895</v>
      </c>
    </row>
    <row r="37" spans="2:11" x14ac:dyDescent="0.25">
      <c r="B37" s="18">
        <v>20</v>
      </c>
      <c r="C37" s="19">
        <f t="shared" si="1"/>
        <v>20</v>
      </c>
      <c r="D37" s="20">
        <f t="shared" si="2"/>
        <v>45654</v>
      </c>
      <c r="E37" s="23">
        <f t="shared" si="0"/>
        <v>30</v>
      </c>
      <c r="F37" s="17">
        <f>IF(C36=$F$11,SUM($F$18:F36),IF(C37=B37,IF(C37=$F$11,I36,ROUND(H37-G37,2)),""))</f>
        <v>66365.990000000005</v>
      </c>
      <c r="G37" s="17">
        <f>IF(C36=$F$11,SUM($G$18:G36),IF(C37=B37,ROUND(((($F$13+1)^((D37-D36)/360))-1)*I36,2),""))</f>
        <v>18813.189999999999</v>
      </c>
      <c r="H37" s="17">
        <f>IF(C36=$F$11,SUM($H$18:H36),IF(C37=B37,IF(C37=$F$11,F37+G37,ROUND($I$17/VLOOKUP("Totales",$D$18:$K$117,8,FALSE),2)),""))</f>
        <v>85179.18</v>
      </c>
      <c r="I37" s="17">
        <f t="shared" si="3"/>
        <v>1805518.3</v>
      </c>
      <c r="J37" s="17"/>
      <c r="K37" s="25">
        <f>IF(C36=$F$11,SUM($K$18:K36),IF(C37=B37,1/((1+$F$14)^SUM($E$18:E37)),""))</f>
        <v>0.81410050301727643</v>
      </c>
    </row>
    <row r="38" spans="2:11" x14ac:dyDescent="0.25">
      <c r="B38" s="18">
        <v>21</v>
      </c>
      <c r="C38" s="19">
        <f t="shared" si="1"/>
        <v>21</v>
      </c>
      <c r="D38" s="20">
        <f t="shared" si="2"/>
        <v>45685</v>
      </c>
      <c r="E38" s="23">
        <f t="shared" si="0"/>
        <v>31</v>
      </c>
      <c r="F38" s="17">
        <f>IF(C37=$F$11,SUM($F$18:F37),IF(C38=B38,IF(C38=$F$11,I37,ROUND(H38-G38,2)),""))</f>
        <v>66424.990000000005</v>
      </c>
      <c r="G38" s="17">
        <f>IF(C37=$F$11,SUM($G$18:G37),IF(C38=B38,ROUND(((($F$13+1)^((D38-D37)/360))-1)*I37,2),""))</f>
        <v>18754.189999999999</v>
      </c>
      <c r="H38" s="17">
        <f>IF(C37=$F$11,SUM($H$18:H37),IF(C38=B38,IF(C38=$F$11,F38+G38,ROUND($I$17/VLOOKUP("Totales",$D$18:$K$117,8,FALSE),2)),""))</f>
        <v>85179.18</v>
      </c>
      <c r="I38" s="17">
        <f t="shared" si="3"/>
        <v>1739093.31</v>
      </c>
      <c r="J38" s="17"/>
      <c r="K38" s="25">
        <f>IF(C37=$F$11,SUM($K$18:K37),IF(C38=B38,1/((1+$F$14)^SUM($E$18:E38)),""))</f>
        <v>0.80573125200784412</v>
      </c>
    </row>
    <row r="39" spans="2:11" x14ac:dyDescent="0.25">
      <c r="B39" s="18">
        <v>22</v>
      </c>
      <c r="C39" s="19">
        <f t="shared" si="1"/>
        <v>22</v>
      </c>
      <c r="D39" s="20">
        <f t="shared" si="2"/>
        <v>45716</v>
      </c>
      <c r="E39" s="23">
        <f t="shared" si="0"/>
        <v>31</v>
      </c>
      <c r="F39" s="17">
        <f>IF(C38=$F$11,SUM($F$18:F38),IF(C39=B39,IF(C39=$F$11,I38,ROUND(H39-G39,2)),""))</f>
        <v>67114.960000000006</v>
      </c>
      <c r="G39" s="17">
        <f>IF(C38=$F$11,SUM($G$18:G38),IF(C39=B39,ROUND(((($F$13+1)^((D39-D38)/360))-1)*I38,2),""))</f>
        <v>18064.22</v>
      </c>
      <c r="H39" s="17">
        <f>IF(C38=$F$11,SUM($H$18:H38),IF(C39=B39,IF(C39=$F$11,F39+G39,ROUND($I$17/VLOOKUP("Totales",$D$18:$K$117,8,FALSE),2)),""))</f>
        <v>85179.18</v>
      </c>
      <c r="I39" s="17">
        <f t="shared" si="3"/>
        <v>1671978.35</v>
      </c>
      <c r="J39" s="17"/>
      <c r="K39" s="25">
        <f>IF(C38=$F$11,SUM($K$18:K38),IF(C39=B39,1/((1+$F$14)^SUM($E$18:E39)),""))</f>
        <v>0.79744803996067715</v>
      </c>
    </row>
    <row r="40" spans="2:11" x14ac:dyDescent="0.25">
      <c r="B40" s="18">
        <v>23</v>
      </c>
      <c r="C40" s="19">
        <f t="shared" si="1"/>
        <v>23</v>
      </c>
      <c r="D40" s="20">
        <f t="shared" si="2"/>
        <v>45744</v>
      </c>
      <c r="E40" s="23">
        <f t="shared" si="0"/>
        <v>28</v>
      </c>
      <c r="F40" s="17">
        <f>IF(C39=$F$11,SUM($F$18:F39),IF(C40=B40,IF(C40=$F$11,I39,ROUND(H40-G40,2)),""))</f>
        <v>69500.63</v>
      </c>
      <c r="G40" s="17">
        <f>IF(C39=$F$11,SUM($G$18:G39),IF(C40=B40,ROUND(((($F$13+1)^((D40-D39)/360))-1)*I39,2),""))</f>
        <v>15678.55</v>
      </c>
      <c r="H40" s="17">
        <f>IF(C39=$F$11,SUM($H$18:H39),IF(C40=B40,IF(C40=$F$11,F40+G40,ROUND($I$17/VLOOKUP("Totales",$D$18:$K$117,8,FALSE),2)),""))</f>
        <v>85179.18</v>
      </c>
      <c r="I40" s="17">
        <f t="shared" si="3"/>
        <v>1602477.72</v>
      </c>
      <c r="J40" s="17"/>
      <c r="K40" s="25">
        <f>IF(C39=$F$11,SUM($K$18:K39),IF(C40=B40,1/((1+$F$14)^SUM($E$18:E40)),""))</f>
        <v>0.79003964548688221</v>
      </c>
    </row>
    <row r="41" spans="2:11" x14ac:dyDescent="0.25">
      <c r="B41" s="18">
        <v>24</v>
      </c>
      <c r="C41" s="19">
        <f t="shared" si="1"/>
        <v>24</v>
      </c>
      <c r="D41" s="20">
        <f t="shared" si="2"/>
        <v>45775</v>
      </c>
      <c r="E41" s="23">
        <f t="shared" si="0"/>
        <v>31</v>
      </c>
      <c r="F41" s="17">
        <f>IF(C40=$F$11,SUM($F$18:F40),IF(C41=B41,IF(C41=$F$11,I40,ROUND(H41-G41,2)),""))</f>
        <v>68534</v>
      </c>
      <c r="G41" s="17">
        <f>IF(C40=$F$11,SUM($G$18:G40),IF(C41=B41,ROUND(((($F$13+1)^((D41-D40)/360))-1)*I40,2),""))</f>
        <v>16645.18</v>
      </c>
      <c r="H41" s="17">
        <f>IF(C40=$F$11,SUM($H$18:H40),IF(C41=B41,IF(C41=$F$11,F41+G41,ROUND($I$17/VLOOKUP("Totales",$D$18:$K$117,8,FALSE),2)),""))</f>
        <v>85179.18</v>
      </c>
      <c r="I41" s="17">
        <f t="shared" si="3"/>
        <v>1533943.72</v>
      </c>
      <c r="J41" s="17"/>
      <c r="K41" s="25">
        <f>IF(C40=$F$11,SUM($K$18:K40),IF(C41=B41,1/((1+$F$14)^SUM($E$18:E41)),""))</f>
        <v>0.78191774889552002</v>
      </c>
    </row>
    <row r="42" spans="2:11" x14ac:dyDescent="0.25">
      <c r="B42" s="18">
        <v>25</v>
      </c>
      <c r="C42" s="19">
        <f t="shared" si="1"/>
        <v>25</v>
      </c>
      <c r="D42" s="20">
        <f t="shared" si="2"/>
        <v>45805</v>
      </c>
      <c r="E42" s="23">
        <f t="shared" si="0"/>
        <v>30</v>
      </c>
      <c r="F42" s="17">
        <f>IF(C41=$F$11,SUM($F$18:F41),IF(C42=B42,IF(C42=$F$11,I41,ROUND(H42-G42,2)),""))</f>
        <v>69762.429999999993</v>
      </c>
      <c r="G42" s="17">
        <f>IF(C41=$F$11,SUM($G$18:G41),IF(C42=B42,ROUND(((($F$13+1)^((D42-D41)/360))-1)*I41,2),""))</f>
        <v>15416.75</v>
      </c>
      <c r="H42" s="17">
        <f>IF(C41=$F$11,SUM($H$18:H41),IF(C42=B42,IF(C42=$F$11,F42+G42,ROUND($I$17/VLOOKUP("Totales",$D$18:$K$117,8,FALSE),2)),""))</f>
        <v>85179.18</v>
      </c>
      <c r="I42" s="17">
        <f t="shared" si="3"/>
        <v>1464181.29</v>
      </c>
      <c r="J42" s="17"/>
      <c r="K42" s="25">
        <f>IF(C41=$F$11,SUM($K$18:K41),IF(C42=B42,1/((1+$F$14)^SUM($E$18:E42)),""))</f>
        <v>0.77413735715808929</v>
      </c>
    </row>
    <row r="43" spans="2:11" x14ac:dyDescent="0.25">
      <c r="B43" s="18">
        <v>26</v>
      </c>
      <c r="C43" s="19">
        <f t="shared" si="1"/>
        <v>26</v>
      </c>
      <c r="D43" s="20">
        <f t="shared" si="2"/>
        <v>45836</v>
      </c>
      <c r="E43" s="23">
        <f t="shared" si="0"/>
        <v>31</v>
      </c>
      <c r="F43" s="17">
        <f>IF(C42=$F$11,SUM($F$18:F42),IF(C43=B43,IF(C43=$F$11,I42,ROUND(H43-G43,2)),""))</f>
        <v>69970.509999999995</v>
      </c>
      <c r="G43" s="17">
        <f>IF(C42=$F$11,SUM($G$18:G42),IF(C43=B43,ROUND(((($F$13+1)^((D43-D42)/360))-1)*I42,2),""))</f>
        <v>15208.67</v>
      </c>
      <c r="H43" s="17">
        <f>IF(C42=$F$11,SUM($H$18:H42),IF(C43=B43,IF(C43=$F$11,F43+G43,ROUND($I$17/VLOOKUP("Totales",$D$18:$K$117,8,FALSE),2)),""))</f>
        <v>85179.18</v>
      </c>
      <c r="I43" s="17">
        <f t="shared" si="3"/>
        <v>1394210.78</v>
      </c>
      <c r="J43" s="17"/>
      <c r="K43" s="25">
        <f>IF(C42=$F$11,SUM($K$18:K42),IF(C43=B43,1/((1+$F$14)^SUM($E$18:E43)),""))</f>
        <v>0.76617894190859415</v>
      </c>
    </row>
    <row r="44" spans="2:11" x14ac:dyDescent="0.25">
      <c r="B44" s="18">
        <v>27</v>
      </c>
      <c r="C44" s="19">
        <f t="shared" si="1"/>
        <v>27</v>
      </c>
      <c r="D44" s="20">
        <f t="shared" si="2"/>
        <v>45866</v>
      </c>
      <c r="E44" s="23">
        <f t="shared" si="0"/>
        <v>30</v>
      </c>
      <c r="F44" s="17">
        <f>IF(C43=$F$11,SUM($F$18:F43),IF(C44=B44,IF(C44=$F$11,I43,ROUND(H44-G44,2)),""))</f>
        <v>71166.8</v>
      </c>
      <c r="G44" s="17">
        <f>IF(C43=$F$11,SUM($G$18:G43),IF(C44=B44,ROUND(((($F$13+1)^((D44-D43)/360))-1)*I43,2),""))</f>
        <v>14012.38</v>
      </c>
      <c r="H44" s="17">
        <f>IF(C43=$F$11,SUM($H$18:H43),IF(C44=B44,IF(C44=$F$11,F44+G44,ROUND($I$17/VLOOKUP("Totales",$D$18:$K$117,8,FALSE),2)),""))</f>
        <v>85179.18</v>
      </c>
      <c r="I44" s="17">
        <f t="shared" si="3"/>
        <v>1323043.98</v>
      </c>
      <c r="J44" s="17"/>
      <c r="K44" s="25">
        <f>IF(C43=$F$11,SUM($K$18:K43),IF(C44=B44,1/((1+$F$14)^SUM($E$18:E44)),""))</f>
        <v>0.75855515754324487</v>
      </c>
    </row>
    <row r="45" spans="2:11" x14ac:dyDescent="0.25">
      <c r="B45" s="18">
        <v>28</v>
      </c>
      <c r="C45" s="19">
        <f t="shared" si="1"/>
        <v>28</v>
      </c>
      <c r="D45" s="20">
        <f t="shared" si="2"/>
        <v>45897</v>
      </c>
      <c r="E45" s="23">
        <f t="shared" si="0"/>
        <v>31</v>
      </c>
      <c r="F45" s="17">
        <f>IF(C44=$F$11,SUM($F$18:F44),IF(C45=B45,IF(C45=$F$11,I44,ROUND(H45-G45,2)),""))</f>
        <v>71436.52</v>
      </c>
      <c r="G45" s="17">
        <f>IF(C44=$F$11,SUM($G$18:G44),IF(C45=B45,ROUND(((($F$13+1)^((D45-D44)/360))-1)*I44,2),""))</f>
        <v>13742.66</v>
      </c>
      <c r="H45" s="17">
        <f>IF(C44=$F$11,SUM($H$18:H44),IF(C45=B45,IF(C45=$F$11,F45+G45,ROUND($I$17/VLOOKUP("Totales",$D$18:$K$117,8,FALSE),2)),""))</f>
        <v>85179.18</v>
      </c>
      <c r="I45" s="17">
        <f t="shared" si="3"/>
        <v>1251607.46</v>
      </c>
      <c r="J45" s="17"/>
      <c r="K45" s="25">
        <f>IF(C44=$F$11,SUM($K$18:K44),IF(C45=B45,1/((1+$F$14)^SUM($E$18:E45)),""))</f>
        <v>0.75075693300653312</v>
      </c>
    </row>
    <row r="46" spans="2:11" x14ac:dyDescent="0.25">
      <c r="B46" s="18">
        <v>29</v>
      </c>
      <c r="C46" s="19">
        <f t="shared" si="1"/>
        <v>29</v>
      </c>
      <c r="D46" s="20">
        <f t="shared" si="2"/>
        <v>45928</v>
      </c>
      <c r="E46" s="23">
        <f t="shared" si="0"/>
        <v>31</v>
      </c>
      <c r="F46" s="17">
        <f>IF(C45=$F$11,SUM($F$18:F45),IF(C46=B46,IF(C46=$F$11,I45,ROUND(H46-G46,2)),""))</f>
        <v>72178.55</v>
      </c>
      <c r="G46" s="17">
        <f>IF(C45=$F$11,SUM($G$18:G45),IF(C46=B46,ROUND(((($F$13+1)^((D46-D45)/360))-1)*I45,2),""))</f>
        <v>13000.63</v>
      </c>
      <c r="H46" s="17">
        <f>IF(C45=$F$11,SUM($H$18:H45),IF(C46=B46,IF(C46=$F$11,F46+G46,ROUND($I$17/VLOOKUP("Totales",$D$18:$K$117,8,FALSE),2)),""))</f>
        <v>85179.18</v>
      </c>
      <c r="I46" s="17">
        <f t="shared" si="3"/>
        <v>1179428.9099999999</v>
      </c>
      <c r="J46" s="17"/>
      <c r="K46" s="25">
        <f>IF(C45=$F$11,SUM($K$18:K45),IF(C46=B46,1/((1+$F$14)^SUM($E$18:E46)),""))</f>
        <v>0.74303887707103677</v>
      </c>
    </row>
    <row r="47" spans="2:11" x14ac:dyDescent="0.25">
      <c r="B47" s="18">
        <v>30</v>
      </c>
      <c r="C47" s="19">
        <f t="shared" si="1"/>
        <v>30</v>
      </c>
      <c r="D47" s="20">
        <f t="shared" si="2"/>
        <v>45958</v>
      </c>
      <c r="E47" s="23">
        <f t="shared" si="0"/>
        <v>30</v>
      </c>
      <c r="F47" s="17">
        <f>IF(C46=$F$11,SUM($F$18:F46),IF(C47=B47,IF(C47=$F$11,I46,ROUND(H47-G47,2)),""))</f>
        <v>73325.45</v>
      </c>
      <c r="G47" s="17">
        <f>IF(C46=$F$11,SUM($G$18:G46),IF(C47=B47,ROUND(((($F$13+1)^((D47-D46)/360))-1)*I46,2),""))</f>
        <v>11853.73</v>
      </c>
      <c r="H47" s="17">
        <f>IF(C46=$F$11,SUM($H$18:H46),IF(C47=B47,IF(C47=$F$11,F47+G47,ROUND($I$17/VLOOKUP("Totales",$D$18:$K$117,8,FALSE),2)),""))</f>
        <v>85179.18</v>
      </c>
      <c r="I47" s="17">
        <f t="shared" si="3"/>
        <v>1106103.46</v>
      </c>
      <c r="J47" s="17"/>
      <c r="K47" s="25">
        <f>IF(C46=$F$11,SUM($K$18:K46),IF(C47=B47,1/((1+$F$14)^SUM($E$18:E47)),""))</f>
        <v>0.73564534552897987</v>
      </c>
    </row>
    <row r="48" spans="2:11" x14ac:dyDescent="0.25">
      <c r="B48" s="18">
        <v>31</v>
      </c>
      <c r="C48" s="19">
        <f t="shared" si="1"/>
        <v>31</v>
      </c>
      <c r="D48" s="20">
        <f t="shared" si="2"/>
        <v>45989</v>
      </c>
      <c r="E48" s="23">
        <f t="shared" si="0"/>
        <v>31</v>
      </c>
      <c r="F48" s="17">
        <f>IF(C47=$F$11,SUM($F$18:F47),IF(C48=B48,IF(C48=$F$11,I47,ROUND(H48-G48,2)),""))</f>
        <v>73689.919999999998</v>
      </c>
      <c r="G48" s="17">
        <f>IF(C47=$F$11,SUM($G$18:G47),IF(C48=B48,ROUND(((($F$13+1)^((D48-D47)/360))-1)*I47,2),""))</f>
        <v>11489.26</v>
      </c>
      <c r="H48" s="17">
        <f>IF(C47=$F$11,SUM($H$18:H47),IF(C48=B48,IF(C48=$F$11,F48+G48,ROUND($I$17/VLOOKUP("Totales",$D$18:$K$117,8,FALSE),2)),""))</f>
        <v>85179.18</v>
      </c>
      <c r="I48" s="17">
        <f t="shared" si="3"/>
        <v>1032413.54</v>
      </c>
      <c r="J48" s="17"/>
      <c r="K48" s="25">
        <f>IF(C47=$F$11,SUM($K$18:K47),IF(C48=B48,1/((1+$F$14)^SUM($E$18:E48)),""))</f>
        <v>0.72808264224132235</v>
      </c>
    </row>
    <row r="49" spans="2:11" x14ac:dyDescent="0.25">
      <c r="B49" s="18">
        <v>32</v>
      </c>
      <c r="C49" s="19">
        <f t="shared" si="1"/>
        <v>32</v>
      </c>
      <c r="D49" s="20">
        <f t="shared" si="2"/>
        <v>46019</v>
      </c>
      <c r="E49" s="23">
        <f t="shared" si="0"/>
        <v>30</v>
      </c>
      <c r="F49" s="17">
        <f>IF(C48=$F$11,SUM($F$18:F48),IF(C49=B49,IF(C49=$F$11,I48,ROUND(H49-G49,2)),""))</f>
        <v>74803.009999999995</v>
      </c>
      <c r="G49" s="17">
        <f>IF(C48=$F$11,SUM($G$18:G48),IF(C49=B49,ROUND(((($F$13+1)^((D49-D48)/360))-1)*I48,2),""))</f>
        <v>10376.17</v>
      </c>
      <c r="H49" s="17">
        <f>IF(C48=$F$11,SUM($H$18:H48),IF(C49=B49,IF(C49=$F$11,F49+G49,ROUND($I$17/VLOOKUP("Totales",$D$18:$K$117,8,FALSE),2)),""))</f>
        <v>85179.18</v>
      </c>
      <c r="I49" s="17">
        <f t="shared" si="3"/>
        <v>957610.53</v>
      </c>
      <c r="J49" s="17"/>
      <c r="K49" s="25">
        <f>IF(C48=$F$11,SUM($K$18:K48),IF(C49=B49,1/((1+$F$14)^SUM($E$18:E49)),""))</f>
        <v>0.720837931167987</v>
      </c>
    </row>
    <row r="50" spans="2:11" x14ac:dyDescent="0.25">
      <c r="B50" s="18">
        <v>33</v>
      </c>
      <c r="C50" s="19">
        <f t="shared" si="1"/>
        <v>33</v>
      </c>
      <c r="D50" s="20">
        <f t="shared" si="2"/>
        <v>46050</v>
      </c>
      <c r="E50" s="23">
        <f t="shared" si="0"/>
        <v>31</v>
      </c>
      <c r="F50" s="17">
        <f>IF(C49=$F$11,SUM($F$18:F49),IF(C50=B50,IF(C50=$F$11,I49,ROUND(H50-G50,2)),""))</f>
        <v>75232.34</v>
      </c>
      <c r="G50" s="17">
        <f>IF(C49=$F$11,SUM($G$18:G49),IF(C50=B50,ROUND(((($F$13+1)^((D50-D49)/360))-1)*I49,2),""))</f>
        <v>9946.84</v>
      </c>
      <c r="H50" s="17">
        <f>IF(C49=$F$11,SUM($H$18:H49),IF(C50=B50,IF(C50=$F$11,F50+G50,ROUND($I$17/VLOOKUP("Totales",$D$18:$K$117,8,FALSE),2)),""))</f>
        <v>85179.18</v>
      </c>
      <c r="I50" s="17">
        <f t="shared" si="3"/>
        <v>882378.19</v>
      </c>
      <c r="J50" s="17"/>
      <c r="K50" s="25">
        <f>IF(C49=$F$11,SUM($K$18:K49),IF(C50=B50,1/((1+$F$14)^SUM($E$18:E50)),""))</f>
        <v>0.71342745351724834</v>
      </c>
    </row>
    <row r="51" spans="2:11" x14ac:dyDescent="0.25">
      <c r="B51" s="18">
        <v>34</v>
      </c>
      <c r="C51" s="19">
        <f t="shared" si="1"/>
        <v>34</v>
      </c>
      <c r="D51" s="20">
        <f t="shared" si="2"/>
        <v>46081</v>
      </c>
      <c r="E51" s="23">
        <f t="shared" si="0"/>
        <v>31</v>
      </c>
      <c r="F51" s="17">
        <f>IF(C50=$F$11,SUM($F$18:F50),IF(C51=B51,IF(C51=$F$11,I50,ROUND(H51-G51,2)),""))</f>
        <v>76013.789999999994</v>
      </c>
      <c r="G51" s="17">
        <f>IF(C50=$F$11,SUM($G$18:G50),IF(C51=B51,ROUND(((($F$13+1)^((D51-D50)/360))-1)*I50,2),""))</f>
        <v>9165.39</v>
      </c>
      <c r="H51" s="17">
        <f>IF(C50=$F$11,SUM($H$18:H50),IF(C51=B51,IF(C51=$F$11,F51+G51,ROUND($I$17/VLOOKUP("Totales",$D$18:$K$117,8,FALSE),2)),""))</f>
        <v>85179.18</v>
      </c>
      <c r="I51" s="17">
        <f t="shared" si="3"/>
        <v>806364.4</v>
      </c>
      <c r="J51" s="17"/>
      <c r="K51" s="25">
        <f>IF(C50=$F$11,SUM($K$18:K50),IF(C51=B51,1/((1+$F$14)^SUM($E$18:E51)),""))</f>
        <v>0.70609315828788022</v>
      </c>
    </row>
    <row r="52" spans="2:11" x14ac:dyDescent="0.25">
      <c r="B52" s="18">
        <v>35</v>
      </c>
      <c r="C52" s="19">
        <f t="shared" si="1"/>
        <v>35</v>
      </c>
      <c r="D52" s="20">
        <f t="shared" si="2"/>
        <v>46109</v>
      </c>
      <c r="E52" s="23">
        <f t="shared" si="0"/>
        <v>28</v>
      </c>
      <c r="F52" s="17">
        <f>IF(C51=$F$11,SUM($F$18:F51),IF(C52=B52,IF(C52=$F$11,I51,ROUND(H52-G52,2)),""))</f>
        <v>77617.7</v>
      </c>
      <c r="G52" s="17">
        <f>IF(C51=$F$11,SUM($G$18:G51),IF(C52=B52,ROUND(((($F$13+1)^((D52-D51)/360))-1)*I51,2),""))</f>
        <v>7561.48</v>
      </c>
      <c r="H52" s="17">
        <f>IF(C51=$F$11,SUM($H$18:H51),IF(C52=B52,IF(C52=$F$11,F52+G52,ROUND($I$17/VLOOKUP("Totales",$D$18:$K$117,8,FALSE),2)),""))</f>
        <v>85179.18</v>
      </c>
      <c r="I52" s="17">
        <f t="shared" si="3"/>
        <v>728746.7</v>
      </c>
      <c r="J52" s="17"/>
      <c r="K52" s="25">
        <f>IF(C51=$F$11,SUM($K$18:K51),IF(C52=B52,1/((1+$F$14)^SUM($E$18:E52)),""))</f>
        <v>0.69953346237076186</v>
      </c>
    </row>
    <row r="53" spans="2:11" x14ac:dyDescent="0.25">
      <c r="B53" s="18">
        <v>36</v>
      </c>
      <c r="C53" s="19">
        <f t="shared" si="1"/>
        <v>36</v>
      </c>
      <c r="D53" s="20">
        <f t="shared" si="2"/>
        <v>46140</v>
      </c>
      <c r="E53" s="23">
        <f t="shared" si="0"/>
        <v>31</v>
      </c>
      <c r="F53" s="17">
        <f>IF(C52=$F$11,SUM($F$18:F52),IF(C53=B53,IF(C53=$F$11,I52,ROUND(H53-G53,2)),""))</f>
        <v>77609.58</v>
      </c>
      <c r="G53" s="17">
        <f>IF(C52=$F$11,SUM($G$18:G52),IF(C53=B53,ROUND(((($F$13+1)^((D53-D52)/360))-1)*I52,2),""))</f>
        <v>7569.6</v>
      </c>
      <c r="H53" s="17">
        <f>IF(C52=$F$11,SUM($H$18:H52),IF(C53=B53,IF(C53=$F$11,F53+G53,ROUND($I$17/VLOOKUP("Totales",$D$18:$K$117,8,FALSE),2)),""))</f>
        <v>85179.18</v>
      </c>
      <c r="I53" s="17">
        <f t="shared" si="3"/>
        <v>651137.12</v>
      </c>
      <c r="J53" s="17"/>
      <c r="K53" s="25">
        <f>IF(C52=$F$11,SUM($K$18:K52),IF(C53=B53,1/((1+$F$14)^SUM($E$18:E53)),""))</f>
        <v>0.69234200245349176</v>
      </c>
    </row>
    <row r="54" spans="2:11" x14ac:dyDescent="0.25">
      <c r="B54" s="18">
        <v>37</v>
      </c>
      <c r="C54" s="19">
        <f t="shared" si="1"/>
        <v>37</v>
      </c>
      <c r="D54" s="20">
        <f t="shared" si="2"/>
        <v>46170</v>
      </c>
      <c r="E54" s="23">
        <f t="shared" si="0"/>
        <v>30</v>
      </c>
      <c r="F54" s="17">
        <f>IF(C53=$F$11,SUM($F$18:F53),IF(C54=B54,IF(C54=$F$11,I53,ROUND(H54-G54,2)),""))</f>
        <v>78634.990000000005</v>
      </c>
      <c r="G54" s="17">
        <f>IF(C53=$F$11,SUM($G$18:G53),IF(C54=B54,ROUND(((($F$13+1)^((D54-D53)/360))-1)*I53,2),""))</f>
        <v>6544.19</v>
      </c>
      <c r="H54" s="17">
        <f>IF(C53=$F$11,SUM($H$18:H53),IF(C54=B54,IF(C54=$F$11,F54+G54,ROUND($I$17/VLOOKUP("Totales",$D$18:$K$117,8,FALSE),2)),""))</f>
        <v>85179.18</v>
      </c>
      <c r="I54" s="17">
        <f t="shared" si="3"/>
        <v>572502.13</v>
      </c>
      <c r="J54" s="17"/>
      <c r="K54" s="25">
        <f>IF(C53=$F$11,SUM($K$18:K53),IF(C54=B54,1/((1+$F$14)^SUM($E$18:E54)),""))</f>
        <v>0.68545292492203269</v>
      </c>
    </row>
    <row r="55" spans="2:11" x14ac:dyDescent="0.25">
      <c r="B55" s="18">
        <v>38</v>
      </c>
      <c r="C55" s="19">
        <f t="shared" si="1"/>
        <v>38</v>
      </c>
      <c r="D55" s="20">
        <f t="shared" si="2"/>
        <v>46201</v>
      </c>
      <c r="E55" s="23">
        <f t="shared" si="0"/>
        <v>31</v>
      </c>
      <c r="F55" s="17">
        <f>IF(C54=$F$11,SUM($F$18:F54),IF(C55=B55,IF(C55=$F$11,I54,ROUND(H55-G55,2)),""))</f>
        <v>79232.509999999995</v>
      </c>
      <c r="G55" s="17">
        <f>IF(C54=$F$11,SUM($G$18:G54),IF(C55=B55,ROUND(((($F$13+1)^((D55-D54)/360))-1)*I54,2),""))</f>
        <v>5946.67</v>
      </c>
      <c r="H55" s="17">
        <f>IF(C54=$F$11,SUM($H$18:H54),IF(C55=B55,IF(C55=$F$11,F55+G55,ROUND($I$17/VLOOKUP("Totales",$D$18:$K$117,8,FALSE),2)),""))</f>
        <v>85179.18</v>
      </c>
      <c r="I55" s="17">
        <f t="shared" si="3"/>
        <v>493269.62</v>
      </c>
      <c r="J55" s="17"/>
      <c r="K55" s="25">
        <f>IF(C54=$F$11,SUM($K$18:K54),IF(C55=B55,1/((1+$F$14)^SUM($E$18:E55)),""))</f>
        <v>0.67840621808109602</v>
      </c>
    </row>
    <row r="56" spans="2:11" x14ac:dyDescent="0.25">
      <c r="B56" s="18">
        <v>39</v>
      </c>
      <c r="C56" s="19">
        <f t="shared" si="1"/>
        <v>39</v>
      </c>
      <c r="D56" s="20">
        <f t="shared" si="2"/>
        <v>46231</v>
      </c>
      <c r="E56" s="23">
        <f t="shared" si="0"/>
        <v>30</v>
      </c>
      <c r="F56" s="17">
        <f>IF(C55=$F$11,SUM($F$18:F55),IF(C56=B56,IF(C56=$F$11,I55,ROUND(H56-G56,2)),""))</f>
        <v>80221.62</v>
      </c>
      <c r="G56" s="17">
        <f>IF(C55=$F$11,SUM($G$18:G55),IF(C56=B56,ROUND(((($F$13+1)^((D56-D55)/360))-1)*I55,2),""))</f>
        <v>4957.5600000000004</v>
      </c>
      <c r="H56" s="17">
        <f>IF(C55=$F$11,SUM($H$18:H55),IF(C56=B56,IF(C56=$F$11,F56+G56,ROUND($I$17/VLOOKUP("Totales",$D$18:$K$117,8,FALSE),2)),""))</f>
        <v>85179.18</v>
      </c>
      <c r="I56" s="17">
        <f t="shared" si="3"/>
        <v>413048</v>
      </c>
      <c r="J56" s="17"/>
      <c r="K56" s="25">
        <f>IF(C55=$F$11,SUM($K$18:K55),IF(C56=B56,1/((1+$F$14)^SUM($E$18:E56)),""))</f>
        <v>0.67165580713156159</v>
      </c>
    </row>
    <row r="57" spans="2:11" x14ac:dyDescent="0.25">
      <c r="B57" s="18">
        <v>40</v>
      </c>
      <c r="C57" s="19">
        <f t="shared" si="1"/>
        <v>40</v>
      </c>
      <c r="D57" s="20">
        <f t="shared" si="2"/>
        <v>46262</v>
      </c>
      <c r="E57" s="23">
        <f t="shared" si="0"/>
        <v>31</v>
      </c>
      <c r="F57" s="17">
        <f>IF(C56=$F$11,SUM($F$18:F56),IF(C57=B57,IF(C57=$F$11,I56,ROUND(H57-G57,2)),""))</f>
        <v>80888.789999999994</v>
      </c>
      <c r="G57" s="17">
        <f>IF(C56=$F$11,SUM($G$18:G56),IF(C57=B57,ROUND(((($F$13+1)^((D57-D56)/360))-1)*I56,2),""))</f>
        <v>4290.3900000000003</v>
      </c>
      <c r="H57" s="17">
        <f>IF(C56=$F$11,SUM($H$18:H56),IF(C57=B57,IF(C57=$F$11,F57+G57,ROUND($I$17/VLOOKUP("Totales",$D$18:$K$117,8,FALSE),2)),""))</f>
        <v>85179.18</v>
      </c>
      <c r="I57" s="17">
        <f t="shared" si="3"/>
        <v>332159.21000000002</v>
      </c>
      <c r="J57" s="17"/>
      <c r="K57" s="25">
        <f>IF(C56=$F$11,SUM($K$18:K56),IF(C57=B57,1/((1+$F$14)^SUM($E$18:E57)),""))</f>
        <v>0.6647509397091822</v>
      </c>
    </row>
    <row r="58" spans="2:11" x14ac:dyDescent="0.25">
      <c r="B58" s="18">
        <v>41</v>
      </c>
      <c r="C58" s="19">
        <f t="shared" si="1"/>
        <v>41</v>
      </c>
      <c r="D58" s="20">
        <f t="shared" si="2"/>
        <v>46293</v>
      </c>
      <c r="E58" s="23">
        <f t="shared" si="0"/>
        <v>31</v>
      </c>
      <c r="F58" s="17">
        <f>IF(C57=$F$11,SUM($F$18:F57),IF(C58=B58,IF(C58=$F$11,I57,ROUND(H58-G58,2)),""))</f>
        <v>81728.990000000005</v>
      </c>
      <c r="G58" s="17">
        <f>IF(C57=$F$11,SUM($G$18:G57),IF(C58=B58,ROUND(((($F$13+1)^((D58-D57)/360))-1)*I57,2),""))</f>
        <v>3450.19</v>
      </c>
      <c r="H58" s="17">
        <f>IF(C57=$F$11,SUM($H$18:H57),IF(C58=B58,IF(C58=$F$11,F58+G58,ROUND($I$17/VLOOKUP("Totales",$D$18:$K$117,8,FALSE),2)),""))</f>
        <v>85179.18</v>
      </c>
      <c r="I58" s="17">
        <f t="shared" si="3"/>
        <v>250430.22</v>
      </c>
      <c r="J58" s="17"/>
      <c r="K58" s="25">
        <f>IF(C57=$F$11,SUM($K$18:K57),IF(C58=B58,1/((1+$F$14)^SUM($E$18:E58)),""))</f>
        <v>0.6579170568500482</v>
      </c>
    </row>
    <row r="59" spans="2:11" x14ac:dyDescent="0.25">
      <c r="B59" s="18">
        <v>42</v>
      </c>
      <c r="C59" s="19">
        <f t="shared" si="1"/>
        <v>42</v>
      </c>
      <c r="D59" s="20">
        <f t="shared" si="2"/>
        <v>46323</v>
      </c>
      <c r="E59" s="23">
        <f t="shared" si="0"/>
        <v>30</v>
      </c>
      <c r="F59" s="17">
        <f>IF(C58=$F$11,SUM($F$18:F58),IF(C59=B59,IF(C59=$F$11,I58,ROUND(H59-G59,2)),""))</f>
        <v>82662.259999999995</v>
      </c>
      <c r="G59" s="17">
        <f>IF(C58=$F$11,SUM($G$18:G58),IF(C59=B59,ROUND(((($F$13+1)^((D59-D58)/360))-1)*I58,2),""))</f>
        <v>2516.92</v>
      </c>
      <c r="H59" s="17">
        <f>IF(C58=$F$11,SUM($H$18:H58),IF(C59=B59,IF(C59=$F$11,F59+G59,ROUND($I$17/VLOOKUP("Totales",$D$18:$K$117,8,FALSE),2)),""))</f>
        <v>85179.18</v>
      </c>
      <c r="I59" s="17">
        <f t="shared" si="3"/>
        <v>167767.96</v>
      </c>
      <c r="J59" s="17"/>
      <c r="K59" s="25">
        <f>IF(C58=$F$11,SUM($K$18:K58),IF(C59=B59,1/((1+$F$14)^SUM($E$18:E59)),""))</f>
        <v>0.65137052118148064</v>
      </c>
    </row>
    <row r="60" spans="2:11" x14ac:dyDescent="0.25">
      <c r="B60" s="18">
        <v>43</v>
      </c>
      <c r="C60" s="19">
        <f t="shared" si="1"/>
        <v>43</v>
      </c>
      <c r="D60" s="20">
        <f t="shared" si="2"/>
        <v>46354</v>
      </c>
      <c r="E60" s="23">
        <f t="shared" si="0"/>
        <v>31</v>
      </c>
      <c r="F60" s="17">
        <f>IF(C59=$F$11,SUM($F$18:F59),IF(C60=B60,IF(C60=$F$11,I59,ROUND(H60-G60,2)),""))</f>
        <v>83436.55</v>
      </c>
      <c r="G60" s="17">
        <f>IF(C59=$F$11,SUM($G$18:G59),IF(C60=B60,ROUND(((($F$13+1)^((D60-D59)/360))-1)*I59,2),""))</f>
        <v>1742.63</v>
      </c>
      <c r="H60" s="17">
        <f>IF(C59=$F$11,SUM($H$18:H59),IF(C60=B60,IF(C60=$F$11,F60+G60,ROUND($I$17/VLOOKUP("Totales",$D$18:$K$117,8,FALSE),2)),""))</f>
        <v>85179.18</v>
      </c>
      <c r="I60" s="17">
        <f t="shared" si="3"/>
        <v>84331.41</v>
      </c>
      <c r="J60" s="17"/>
      <c r="K60" s="25">
        <f>IF(C59=$F$11,SUM($K$18:K59),IF(C60=B60,1/((1+$F$14)^SUM($E$18:E60)),""))</f>
        <v>0.64467419392003356</v>
      </c>
    </row>
    <row r="61" spans="2:11" x14ac:dyDescent="0.25">
      <c r="B61" s="18">
        <v>44</v>
      </c>
      <c r="C61" s="19">
        <f t="shared" si="1"/>
        <v>44</v>
      </c>
      <c r="D61" s="20">
        <f t="shared" si="2"/>
        <v>46384</v>
      </c>
      <c r="E61" s="23">
        <f t="shared" si="0"/>
        <v>30</v>
      </c>
      <c r="F61" s="17">
        <f>IF(C60=$F$11,SUM($F$18:F60),IF(C61=B61,IF(C61=$F$11,I60,ROUND(H61-G61,2)),""))</f>
        <v>84331.41</v>
      </c>
      <c r="G61" s="17">
        <f>IF(C60=$F$11,SUM($G$18:G60),IF(C61=B61,ROUND(((($F$13+1)^((D61-D60)/360))-1)*I60,2),""))</f>
        <v>847.56</v>
      </c>
      <c r="H61" s="17">
        <f>IF(C60=$F$11,SUM($H$18:H60),IF(C61=B61,IF(C61=$F$11,F61+G61,ROUND($I$17/VLOOKUP("Totales",$D$18:$K$117,8,FALSE),2)),""))</f>
        <v>85178.97</v>
      </c>
      <c r="I61" s="17">
        <f t="shared" si="3"/>
        <v>0</v>
      </c>
      <c r="J61" s="17"/>
      <c r="K61" s="25">
        <f>IF(C60=$F$11,SUM($K$18:K60),IF(C61=B61,1/((1+$F$14)^SUM($E$18:E61)),""))</f>
        <v>0.63825942999020202</v>
      </c>
    </row>
    <row r="62" spans="2:11" x14ac:dyDescent="0.25">
      <c r="B62" s="18">
        <v>45</v>
      </c>
      <c r="C62" s="19" t="str">
        <f t="shared" si="1"/>
        <v/>
      </c>
      <c r="D62" s="20" t="str">
        <f t="shared" si="2"/>
        <v>Totales</v>
      </c>
      <c r="E62" s="23" t="str">
        <f t="shared" si="0"/>
        <v/>
      </c>
      <c r="F62" s="17">
        <f>IF(C61=$F$11,SUM($F$18:F61),IF(C62=B62,IF(C62=$F$11,I61,ROUND(H62-G62,2)),""))</f>
        <v>3000000.0000000005</v>
      </c>
      <c r="G62" s="17">
        <f>IF(C61=$F$11,SUM($G$18:G61),IF(C62=B62,ROUND(((($F$13+1)^((D62-D61)/360))-1)*I61,2),""))</f>
        <v>747883.7100000002</v>
      </c>
      <c r="H62" s="17">
        <f>IF(C61=$F$11,SUM($H$18:H61),IF(C62=B62,IF(C62=$F$11,F62+G62,ROUND($I$17/VLOOKUP("Totales",$D$18:$K$117,8,FALSE),2)),""))</f>
        <v>3747883.7100000023</v>
      </c>
      <c r="I62" s="17" t="str">
        <f t="shared" si="3"/>
        <v/>
      </c>
      <c r="J62" s="27"/>
      <c r="K62" s="25">
        <f>IF(C61=$F$11,SUM($K$18:K61),IF(C62=B62,1/((1+$F$14)^SUM($E$18:E62)),""))</f>
        <v>35.219875641326503</v>
      </c>
    </row>
    <row r="63" spans="2:11" x14ac:dyDescent="0.25">
      <c r="B63" s="18">
        <v>46</v>
      </c>
      <c r="C63" s="19" t="str">
        <f t="shared" si="1"/>
        <v/>
      </c>
      <c r="D63" s="20" t="str">
        <f t="shared" si="2"/>
        <v/>
      </c>
      <c r="E63" s="23" t="str">
        <f t="shared" si="0"/>
        <v/>
      </c>
      <c r="F63" s="17" t="str">
        <f>IF(C62=$F$11,SUM($F$18:F62),IF(C63=B63,IF(C63=$F$11,I62,ROUND(H63-G63,2)),""))</f>
        <v/>
      </c>
      <c r="G63" s="17" t="str">
        <f>IF(C62=$F$11,SUM($G$18:G62),IF(C63=B63,ROUND(((($F$13+1)^((D63-D62)/360))-1)*I62,2),""))</f>
        <v/>
      </c>
      <c r="H63" s="17" t="str">
        <f>IF(C62=$F$11,SUM($H$18:H62),IF(C63=B63,IF(C63=$F$11,F63+G63,ROUND($I$17/VLOOKUP("Totales",$D$18:$K$117,8,FALSE),2)),""))</f>
        <v/>
      </c>
      <c r="I63" s="17" t="str">
        <f t="shared" si="3"/>
        <v/>
      </c>
      <c r="J63" s="27"/>
      <c r="K63" s="25" t="str">
        <f>IF(C62=$F$11,SUM($K$18:K62),IF(C63=B63,1/((1+$F$14)^SUM($E$18:E63)),""))</f>
        <v/>
      </c>
    </row>
    <row r="64" spans="2:11" x14ac:dyDescent="0.25">
      <c r="B64" s="18">
        <v>47</v>
      </c>
      <c r="C64" s="19" t="str">
        <f t="shared" si="1"/>
        <v/>
      </c>
      <c r="D64" s="20" t="str">
        <f t="shared" si="2"/>
        <v/>
      </c>
      <c r="E64" s="23" t="str">
        <f>IF(C64=B64,D64-D63,"")</f>
        <v/>
      </c>
      <c r="F64" s="17" t="str">
        <f>IF(C63=$F$11,SUM($F$18:F63),IF(C64=B64,IF(C64=$F$11,I63,ROUND(H64-G64,2)),""))</f>
        <v/>
      </c>
      <c r="G64" s="17" t="str">
        <f>IF(C63=$F$11,SUM($G$18:G63),IF(C64=B64,ROUND(((($F$13+1)^((D64-D63)/360))-1)*I63,2),""))</f>
        <v/>
      </c>
      <c r="H64" s="17" t="str">
        <f>IF(C63=$F$11,SUM($H$18:H63),IF(C64=B64,IF(C64=$F$11,F64+G64,ROUND($I$17/VLOOKUP("Totales",$D$18:$K$117,8,FALSE),2)),""))</f>
        <v/>
      </c>
      <c r="I64" s="17" t="str">
        <f t="shared" si="3"/>
        <v/>
      </c>
      <c r="J64" s="28"/>
      <c r="K64" s="25" t="str">
        <f>IF(C63=$F$11,SUM($K$18:K63),IF(C64=B64,1/((1+$F$14)^SUM($E$18:E64)),""))</f>
        <v/>
      </c>
    </row>
    <row r="65" spans="1:13" x14ac:dyDescent="0.25">
      <c r="B65" s="18">
        <v>48</v>
      </c>
      <c r="C65" s="19" t="str">
        <f>IF(B65&lt;=$F$11,B65,"")</f>
        <v/>
      </c>
      <c r="D65" s="20" t="str">
        <f t="shared" si="2"/>
        <v/>
      </c>
      <c r="E65" s="23" t="str">
        <f>IF(C65=B65,D65-D64,"")</f>
        <v/>
      </c>
      <c r="F65" s="17" t="str">
        <f>IF(C64=$F$11,SUM($F$18:F64),IF(C65=B65,IF(C65=$F$11,I64,ROUND(H65-G65,2)),""))</f>
        <v/>
      </c>
      <c r="G65" s="17" t="str">
        <f>IF(C64=$F$11,SUM($G$18:G64),IF(C65=B65,ROUND(((($F$13+1)^((D65-D64)/360))-1)*I64,2),""))</f>
        <v/>
      </c>
      <c r="H65" s="17" t="str">
        <f>IF(C64=$F$11,SUM($H$18:H64),IF(C65=B65,IF(C65=$F$11,F65+G65,ROUND($I$17/VLOOKUP("Totales",$D$18:$K$117,8,FALSE),2)),""))</f>
        <v/>
      </c>
      <c r="I65" s="17" t="str">
        <f t="shared" si="3"/>
        <v/>
      </c>
      <c r="J65" s="17"/>
      <c r="K65" s="25" t="str">
        <f>IF(C64=$F$11,SUM($K$18:K64),IF(C65=B65,1/((1+$F$14)^SUM($E$18:E65)),""))</f>
        <v/>
      </c>
    </row>
    <row r="66" spans="1:13" x14ac:dyDescent="0.25">
      <c r="B66" s="18">
        <v>49</v>
      </c>
      <c r="C66" s="19" t="str">
        <f t="shared" si="1"/>
        <v/>
      </c>
      <c r="D66" s="20" t="str">
        <f t="shared" si="2"/>
        <v/>
      </c>
      <c r="E66" s="23" t="str">
        <f>IF(C66=B66,D66-D65,"")</f>
        <v/>
      </c>
      <c r="F66" s="17" t="str">
        <f>IF(C65=$F$11,SUM($F$18:F65),IF(C66=B66,IF(C66=$F$11,I65,ROUND(H66-G66,2)),""))</f>
        <v/>
      </c>
      <c r="G66" s="17" t="str">
        <f>IF(C65=$F$11,SUM($G$18:G65),IF(C66=B66,ROUND(((($F$13+1)^((D66-D65)/360))-1)*I65,2),""))</f>
        <v/>
      </c>
      <c r="H66" s="17" t="str">
        <f>IF(C65=$F$11,SUM($H$18:H65),IF(C66=B66,IF(C66=$F$11,F66+G66,ROUND($I$17/VLOOKUP("Totales",$D$18:$K$117,8,FALSE),2)),""))</f>
        <v/>
      </c>
      <c r="I66" s="17" t="str">
        <f t="shared" si="3"/>
        <v/>
      </c>
      <c r="J66" s="17"/>
      <c r="K66" s="25" t="str">
        <f>IF(C65=$F$11,SUM($K$18:K65),IF(C66=B66,1/((1+$F$14)^SUM($E$18:E66)),""))</f>
        <v/>
      </c>
      <c r="L66" s="17" t="s">
        <v>17</v>
      </c>
      <c r="M66" s="17"/>
    </row>
    <row r="67" spans="1:13" x14ac:dyDescent="0.25">
      <c r="B67" s="18">
        <v>50</v>
      </c>
      <c r="C67" s="19" t="str">
        <f t="shared" si="1"/>
        <v/>
      </c>
      <c r="D67" s="20" t="str">
        <f t="shared" si="2"/>
        <v/>
      </c>
      <c r="E67" s="23" t="str">
        <f>IF(C67=B67,D67-D66,"")</f>
        <v/>
      </c>
      <c r="F67" s="17" t="str">
        <f>IF(C66=$F$11,SUM($F$18:F66),IF(C67=B67,IF(C67=$F$11,I66,ROUND(H67-G67,2)),""))</f>
        <v/>
      </c>
      <c r="G67" s="17" t="str">
        <f>IF(C66=$F$11,SUM($G$18:G66),IF(C67=B67,ROUND(((($F$13+1)^((D67-D66)/360))-1)*I66,2),""))</f>
        <v/>
      </c>
      <c r="H67" s="17" t="str">
        <f>IF(C66=$F$11,SUM($H$18:H66),IF(C67=B67,IF(C67=$F$11,F67+G67,ROUND($I$17/VLOOKUP("Totales",$D$18:$K$117,8,FALSE),2)),""))</f>
        <v/>
      </c>
      <c r="I67" s="17" t="str">
        <f>IF(C67=B67,ROUND(I66-F67,2),"")</f>
        <v/>
      </c>
      <c r="J67" s="17"/>
      <c r="K67" s="25" t="str">
        <f>IF(C66=$F$11,SUM($K$18:K66),IF(C67=B67,1/((1+$F$14)^SUM($E$18:E67)),""))</f>
        <v/>
      </c>
      <c r="L67" s="17" t="s">
        <v>17</v>
      </c>
      <c r="M67" s="17"/>
    </row>
    <row r="68" spans="1:13" x14ac:dyDescent="0.25">
      <c r="A68" s="42">
        <v>46387</v>
      </c>
      <c r="B68" s="18">
        <v>51</v>
      </c>
      <c r="C68" s="19" t="str">
        <f t="shared" si="1"/>
        <v/>
      </c>
      <c r="D68" s="20" t="str">
        <f t="shared" si="2"/>
        <v/>
      </c>
      <c r="E68" s="23" t="str">
        <f t="shared" ref="E68:E117" si="4">IF(C68=B68,D68-D67,"")</f>
        <v/>
      </c>
      <c r="F68" s="17" t="str">
        <f>IF(C67=$F$11,SUM($F$18:F67),IF(C68=B68,IF(C68=$F$11,I67,ROUND(H68-G68,2)),""))</f>
        <v/>
      </c>
      <c r="G68" s="17" t="str">
        <f>IF(C67=$F$11,SUM($G$18:G67),IF(C68=B68,ROUND(((($F$13+1)^((D68-D67)/360))-1)*I67,2),""))</f>
        <v/>
      </c>
      <c r="H68" s="17" t="str">
        <f>IF(C67=$F$11,SUM($H$18:H67),IF(C68=B68,IF(C68=$F$11,F68+G68,ROUND($I$17/VLOOKUP("Totales",$D$18:$K$117,8,FALSE),2)),""))</f>
        <v/>
      </c>
      <c r="I68" s="17" t="str">
        <f t="shared" ref="I68:I117" si="5">IF(C68=B68,ROUND(I67-F68,2),"")</f>
        <v/>
      </c>
      <c r="J68" s="17"/>
      <c r="K68" s="25" t="str">
        <f>IF(C67=$F$11,SUM($K$18:K67),IF(C68=B68,1/((1+$F$14)^SUM($E$18:E68)),""))</f>
        <v/>
      </c>
      <c r="L68" s="17" t="s">
        <v>17</v>
      </c>
      <c r="M68" s="17"/>
    </row>
    <row r="69" spans="1:13" x14ac:dyDescent="0.25">
      <c r="B69" s="18">
        <v>52</v>
      </c>
      <c r="C69" s="19" t="str">
        <f t="shared" si="1"/>
        <v/>
      </c>
      <c r="D69" s="20" t="str">
        <f t="shared" si="2"/>
        <v/>
      </c>
      <c r="E69" s="23" t="str">
        <f t="shared" si="4"/>
        <v/>
      </c>
      <c r="F69" s="17" t="str">
        <f>IF(C68=$F$11,SUM($F$18:F68),IF(C69=B69,IF(C69=$F$11,I68,ROUND(H69-G69,2)),""))</f>
        <v/>
      </c>
      <c r="G69" s="17" t="str">
        <f>IF(C68=$F$11,SUM($G$18:G68),IF(C69=B69,ROUND(((($F$13+1)^((D69-D68)/360))-1)*I68,2),""))</f>
        <v/>
      </c>
      <c r="H69" s="17" t="str">
        <f>IF(C68=$F$11,SUM($H$18:H68),IF(C69=B69,IF(C69=$F$11,F69+G69,ROUND($I$17/VLOOKUP("Totales",$D$18:$K$117,8,FALSE),2)),""))</f>
        <v/>
      </c>
      <c r="I69" s="17" t="str">
        <f t="shared" si="5"/>
        <v/>
      </c>
      <c r="J69" s="17"/>
      <c r="K69" s="25" t="str">
        <f>IF(C68=$F$11,SUM($K$18:K68),IF(C69=B69,1/((1+$F$14)^SUM($E$18:E69)),""))</f>
        <v/>
      </c>
    </row>
    <row r="70" spans="1:13" x14ac:dyDescent="0.25">
      <c r="B70" s="18">
        <v>53</v>
      </c>
      <c r="C70" s="19" t="str">
        <f t="shared" si="1"/>
        <v/>
      </c>
      <c r="D70" s="20" t="str">
        <f t="shared" si="2"/>
        <v/>
      </c>
      <c r="E70" s="23" t="str">
        <f t="shared" si="4"/>
        <v/>
      </c>
      <c r="F70" s="17" t="str">
        <f>IF(C69=$F$11,SUM($F$18:F69),IF(C70=B70,IF(C70=$F$11,I69,ROUND(H70-G70,2)),""))</f>
        <v/>
      </c>
      <c r="G70" s="17" t="str">
        <f>IF(C69=$F$11,SUM($G$18:G69),IF(C70=B70,ROUND(((($F$13+1)^((D70-D69)/360))-1)*I69,2),""))</f>
        <v/>
      </c>
      <c r="H70" s="17" t="str">
        <f>IF(C69=$F$11,SUM($H$18:H69),IF(C70=B70,IF(C70=$F$11,F70+G70,ROUND($I$17/VLOOKUP("Totales",$D$18:$K$117,8,FALSE),2)),""))</f>
        <v/>
      </c>
      <c r="I70" s="17" t="str">
        <f t="shared" si="5"/>
        <v/>
      </c>
      <c r="J70" s="17"/>
      <c r="K70" s="25" t="str">
        <f>IF(C69=$F$11,SUM($K$18:K69),IF(C70=B70,1/((1+$F$14)^SUM($E$18:E70)),""))</f>
        <v/>
      </c>
    </row>
    <row r="71" spans="1:13" x14ac:dyDescent="0.25">
      <c r="B71" s="18">
        <v>54</v>
      </c>
      <c r="C71" s="19" t="str">
        <f t="shared" si="1"/>
        <v/>
      </c>
      <c r="D71" s="20" t="str">
        <f t="shared" si="2"/>
        <v/>
      </c>
      <c r="E71" s="23" t="str">
        <f t="shared" si="4"/>
        <v/>
      </c>
      <c r="F71" s="17" t="str">
        <f>IF(C70=$F$11,SUM($F$18:F70),IF(C71=B71,IF(C71=$F$11,I70,ROUND(H71-G71,2)),""))</f>
        <v/>
      </c>
      <c r="G71" s="17" t="str">
        <f>IF(C70=$F$11,SUM($G$18:G70),IF(C71=B71,ROUND(((($F$13+1)^((D71-D70)/360))-1)*I70,2),""))</f>
        <v/>
      </c>
      <c r="H71" s="17" t="str">
        <f>IF(C70=$F$11,SUM($H$18:H70),IF(C71=B71,IF(C71=$F$11,F71+G71,ROUND($I$17/VLOOKUP("Totales",$D$18:$K$117,8,FALSE),2)),""))</f>
        <v/>
      </c>
      <c r="I71" s="17" t="str">
        <f t="shared" si="5"/>
        <v/>
      </c>
      <c r="J71" s="17"/>
      <c r="K71" s="25" t="str">
        <f>IF(C70=$F$11,SUM($K$18:K70),IF(C71=B71,1/((1+$F$14)^SUM($E$18:E71)),""))</f>
        <v/>
      </c>
    </row>
    <row r="72" spans="1:13" x14ac:dyDescent="0.25">
      <c r="B72" s="18">
        <v>55</v>
      </c>
      <c r="C72" s="19" t="str">
        <f t="shared" si="1"/>
        <v/>
      </c>
      <c r="D72" s="20" t="str">
        <f t="shared" si="2"/>
        <v/>
      </c>
      <c r="E72" s="23" t="str">
        <f t="shared" si="4"/>
        <v/>
      </c>
      <c r="F72" s="17" t="str">
        <f>IF(C71=$F$11,SUM($F$18:F71),IF(C72=B72,IF(C72=$F$11,I71,ROUND(H72-G72,2)),""))</f>
        <v/>
      </c>
      <c r="G72" s="17" t="str">
        <f>IF(C71=$F$11,SUM($G$18:G71),IF(C72=B72,ROUND(((($F$13+1)^((D72-D71)/360))-1)*I71,2),""))</f>
        <v/>
      </c>
      <c r="H72" s="17" t="str">
        <f>IF(C71=$F$11,SUM($H$18:H71),IF(C72=B72,IF(C72=$F$11,F72+G72,ROUND($I$17/VLOOKUP("Totales",$D$18:$K$117,8,FALSE),2)),""))</f>
        <v/>
      </c>
      <c r="I72" s="17" t="str">
        <f t="shared" si="5"/>
        <v/>
      </c>
      <c r="J72" s="17"/>
      <c r="K72" s="25" t="str">
        <f>IF(C71=$F$11,SUM($K$18:K71),IF(C72=B72,1/((1+$F$14)^SUM($E$18:E72)),""))</f>
        <v/>
      </c>
    </row>
    <row r="73" spans="1:13" x14ac:dyDescent="0.25">
      <c r="B73" s="18">
        <v>56</v>
      </c>
      <c r="C73" s="19" t="str">
        <f t="shared" si="1"/>
        <v/>
      </c>
      <c r="D73" s="20" t="str">
        <f t="shared" si="2"/>
        <v/>
      </c>
      <c r="E73" s="23" t="str">
        <f t="shared" si="4"/>
        <v/>
      </c>
      <c r="F73" s="17" t="str">
        <f>IF(C72=$F$11,SUM($F$18:F72),IF(C73=B73,IF(C73=$F$11,I72,ROUND(H73-G73,2)),""))</f>
        <v/>
      </c>
      <c r="G73" s="17" t="str">
        <f>IF(C72=$F$11,SUM($G$18:G72),IF(C73=B73,ROUND(((($F$13+1)^((D73-D72)/360))-1)*I72,2),""))</f>
        <v/>
      </c>
      <c r="H73" s="17" t="str">
        <f>IF(C72=$F$11,SUM($H$18:H72),IF(C73=B73,IF(C73=$F$11,F73+G73,ROUND($I$17/VLOOKUP("Totales",$D$18:$K$117,8,FALSE),2)),""))</f>
        <v/>
      </c>
      <c r="I73" s="17" t="str">
        <f t="shared" si="5"/>
        <v/>
      </c>
      <c r="J73" s="17"/>
      <c r="K73" s="25" t="str">
        <f>IF(C72=$F$11,SUM($K$18:K72),IF(C73=B73,1/((1+$F$14)^SUM($E$18:E73)),""))</f>
        <v/>
      </c>
    </row>
    <row r="74" spans="1:13" x14ac:dyDescent="0.25">
      <c r="B74" s="18">
        <v>57</v>
      </c>
      <c r="C74" s="19" t="str">
        <f t="shared" si="1"/>
        <v/>
      </c>
      <c r="D74" s="20" t="str">
        <f t="shared" si="2"/>
        <v/>
      </c>
      <c r="E74" s="23" t="str">
        <f t="shared" si="4"/>
        <v/>
      </c>
      <c r="F74" s="17" t="str">
        <f>IF(C73=$F$11,SUM($F$18:F73),IF(C74=B74,IF(C74=$F$11,I73,ROUND(H74-G74,2)),""))</f>
        <v/>
      </c>
      <c r="G74" s="17" t="str">
        <f>IF(C73=$F$11,SUM($G$18:G73),IF(C74=B74,ROUND(((($F$13+1)^((D74-D73)/360))-1)*I73,2),""))</f>
        <v/>
      </c>
      <c r="H74" s="17" t="str">
        <f>IF(C73=$F$11,SUM($H$18:H73),IF(C74=B74,IF(C74=$F$11,F74+G74,ROUND($I$17/VLOOKUP("Totales",$D$18:$K$117,8,FALSE),2)),""))</f>
        <v/>
      </c>
      <c r="I74" s="17" t="str">
        <f t="shared" si="5"/>
        <v/>
      </c>
      <c r="J74" s="17"/>
      <c r="K74" s="25" t="str">
        <f>IF(C73=$F$11,SUM($K$18:K73),IF(C74=B74,1/((1+$F$14)^SUM($E$18:E74)),""))</f>
        <v/>
      </c>
    </row>
    <row r="75" spans="1:13" x14ac:dyDescent="0.25">
      <c r="B75" s="18">
        <v>58</v>
      </c>
      <c r="C75" s="19" t="str">
        <f t="shared" si="1"/>
        <v/>
      </c>
      <c r="D75" s="20" t="str">
        <f t="shared" si="2"/>
        <v/>
      </c>
      <c r="E75" s="23" t="str">
        <f t="shared" si="4"/>
        <v/>
      </c>
      <c r="F75" s="17" t="str">
        <f>IF(C74=$F$11,SUM($F$18:F74),IF(C75=B75,IF(C75=$F$11,I74,ROUND(H75-G75,2)),""))</f>
        <v/>
      </c>
      <c r="G75" s="17" t="str">
        <f>IF(C74=$F$11,SUM($G$18:G74),IF(C75=B75,ROUND(((($F$13+1)^((D75-D74)/360))-1)*I74,2),""))</f>
        <v/>
      </c>
      <c r="H75" s="17" t="str">
        <f>IF(C74=$F$11,SUM($H$18:H74),IF(C75=B75,IF(C75=$F$11,F75+G75,ROUND($I$17/VLOOKUP("Totales",$D$18:$K$117,8,FALSE),2)),""))</f>
        <v/>
      </c>
      <c r="I75" s="17" t="str">
        <f t="shared" si="5"/>
        <v/>
      </c>
      <c r="J75" s="17"/>
      <c r="K75" s="25" t="str">
        <f>IF(C74=$F$11,SUM($K$18:K74),IF(C75=B75,1/((1+$F$14)^SUM($E$18:E75)),""))</f>
        <v/>
      </c>
    </row>
    <row r="76" spans="1:13" x14ac:dyDescent="0.25">
      <c r="B76" s="18">
        <v>59</v>
      </c>
      <c r="C76" s="19" t="str">
        <f t="shared" si="1"/>
        <v/>
      </c>
      <c r="D76" s="20" t="str">
        <f t="shared" si="2"/>
        <v/>
      </c>
      <c r="E76" s="23" t="str">
        <f t="shared" si="4"/>
        <v/>
      </c>
      <c r="F76" s="17" t="str">
        <f>IF(C75=$F$11,SUM($F$18:F75),IF(C76=B76,IF(C76=$F$11,I75,ROUND(H76-G76,2)),""))</f>
        <v/>
      </c>
      <c r="G76" s="17" t="str">
        <f>IF(C75=$F$11,SUM($G$18:G75),IF(C76=B76,ROUND(((($F$13+1)^((D76-D75)/360))-1)*I75,2),""))</f>
        <v/>
      </c>
      <c r="H76" s="17" t="str">
        <f>IF(C75=$F$11,SUM($H$18:H75),IF(C76=B76,IF(C76=$F$11,F76+G76,ROUND($I$17/VLOOKUP("Totales",$D$18:$K$117,8,FALSE),2)),""))</f>
        <v/>
      </c>
      <c r="I76" s="17" t="str">
        <f t="shared" si="5"/>
        <v/>
      </c>
      <c r="J76" s="17"/>
      <c r="K76" s="25" t="str">
        <f>IF(C75=$F$11,SUM($K$18:K75),IF(C76=B76,1/((1+$F$14)^SUM($E$18:E76)),""))</f>
        <v/>
      </c>
    </row>
    <row r="77" spans="1:13" x14ac:dyDescent="0.25">
      <c r="B77" s="18">
        <v>60</v>
      </c>
      <c r="C77" s="19" t="str">
        <f t="shared" si="1"/>
        <v/>
      </c>
      <c r="D77" s="20" t="str">
        <f t="shared" si="2"/>
        <v/>
      </c>
      <c r="E77" s="23" t="str">
        <f t="shared" si="4"/>
        <v/>
      </c>
      <c r="F77" s="17" t="str">
        <f>IF(C76=$F$11,SUM($F$18:F76),IF(C77=B77,IF(C77=$F$11,I76,ROUND(H77-G77,2)),""))</f>
        <v/>
      </c>
      <c r="G77" s="17" t="str">
        <f>IF(C76=$F$11,SUM($G$18:G76),IF(C77=B77,ROUND(((($F$13+1)^((D77-D76)/360))-1)*I76,2),""))</f>
        <v/>
      </c>
      <c r="H77" s="17" t="str">
        <f>IF(C76=$F$11,SUM($H$18:H76),IF(C77=B77,IF(C77=$F$11,F77+G77,ROUND($I$17/VLOOKUP("Totales",$D$18:$K$117,8,FALSE),2)),""))</f>
        <v/>
      </c>
      <c r="I77" s="17" t="str">
        <f t="shared" si="5"/>
        <v/>
      </c>
      <c r="J77" s="17"/>
      <c r="K77" s="25" t="str">
        <f>IF(C76=$F$11,SUM($K$18:K76),IF(C77=B77,1/((1+$F$14)^SUM($E$18:E77)),""))</f>
        <v/>
      </c>
    </row>
    <row r="78" spans="1:13" x14ac:dyDescent="0.25">
      <c r="B78" s="18">
        <v>61</v>
      </c>
      <c r="C78" s="19" t="str">
        <f t="shared" si="1"/>
        <v/>
      </c>
      <c r="D78" s="20" t="str">
        <f t="shared" si="2"/>
        <v/>
      </c>
      <c r="E78" s="23" t="str">
        <f t="shared" si="4"/>
        <v/>
      </c>
      <c r="F78" s="17" t="str">
        <f>IF(C77=$F$11,SUM($F$18:F77),IF(C78=B78,IF(C78=$F$11,I77,ROUND(H78-G78,2)),""))</f>
        <v/>
      </c>
      <c r="G78" s="17" t="str">
        <f>IF(C77=$F$11,SUM($G$18:G77),IF(C78=B78,ROUND(((($F$13+1)^((D78-D77)/360))-1)*I77,2),""))</f>
        <v/>
      </c>
      <c r="H78" s="17" t="str">
        <f>IF(C77=$F$11,SUM($H$18:H77),IF(C78=B78,IF(C78=$F$11,F78+G78,ROUND($I$17/VLOOKUP("Totales",$D$18:$K$117,8,FALSE),2)),""))</f>
        <v/>
      </c>
      <c r="I78" s="17" t="str">
        <f t="shared" si="5"/>
        <v/>
      </c>
      <c r="J78" s="17"/>
      <c r="K78" s="25" t="str">
        <f>IF(C77=$F$11,SUM($K$18:K77),IF(C78=B78,1/((1+$F$14)^SUM($E$18:E78)),""))</f>
        <v/>
      </c>
    </row>
    <row r="79" spans="1:13" x14ac:dyDescent="0.25">
      <c r="B79" s="18">
        <v>62</v>
      </c>
      <c r="C79" s="19" t="str">
        <f t="shared" si="1"/>
        <v/>
      </c>
      <c r="D79" s="20" t="str">
        <f t="shared" si="2"/>
        <v/>
      </c>
      <c r="E79" s="23" t="str">
        <f t="shared" si="4"/>
        <v/>
      </c>
      <c r="F79" s="17" t="str">
        <f>IF(C78=$F$11,SUM($F$18:F78),IF(C79=B79,IF(C79=$F$11,I78,ROUND(H79-G79,2)),""))</f>
        <v/>
      </c>
      <c r="G79" s="17" t="str">
        <f>IF(C78=$F$11,SUM($G$18:G78),IF(C79=B79,ROUND(((($F$13+1)^((D79-D78)/360))-1)*I78,2),""))</f>
        <v/>
      </c>
      <c r="H79" s="17" t="str">
        <f>IF(C78=$F$11,SUM($H$18:H78),IF(C79=B79,IF(C79=$F$11,F79+G79,ROUND($I$17/VLOOKUP("Totales",$D$18:$K$117,8,FALSE),2)),""))</f>
        <v/>
      </c>
      <c r="I79" s="17" t="str">
        <f t="shared" si="5"/>
        <v/>
      </c>
      <c r="J79" s="17"/>
      <c r="K79" s="25" t="str">
        <f>IF(C78=$F$11,SUM($K$18:K78),IF(C79=B79,1/((1+$F$14)^SUM($E$18:E79)),""))</f>
        <v/>
      </c>
    </row>
    <row r="80" spans="1:13" x14ac:dyDescent="0.25">
      <c r="B80" s="18">
        <v>63</v>
      </c>
      <c r="C80" s="19" t="str">
        <f t="shared" si="1"/>
        <v/>
      </c>
      <c r="D80" s="20" t="str">
        <f t="shared" si="2"/>
        <v/>
      </c>
      <c r="E80" s="23" t="str">
        <f t="shared" si="4"/>
        <v/>
      </c>
      <c r="F80" s="17" t="str">
        <f>IF(C79=$F$11,SUM($F$18:F79),IF(C80=B80,IF(C80=$F$11,I79,ROUND(H80-G80,2)),""))</f>
        <v/>
      </c>
      <c r="G80" s="17" t="str">
        <f>IF(C79=$F$11,SUM($G$18:G79),IF(C80=B80,ROUND(((($F$13+1)^((D80-D79)/360))-1)*I79,2),""))</f>
        <v/>
      </c>
      <c r="H80" s="17" t="str">
        <f>IF(C79=$F$11,SUM($H$18:H79),IF(C80=B80,IF(C80=$F$11,F80+G80,ROUND($I$17/VLOOKUP("Totales",$D$18:$K$117,8,FALSE),2)),""))</f>
        <v/>
      </c>
      <c r="I80" s="17" t="str">
        <f t="shared" si="5"/>
        <v/>
      </c>
      <c r="J80" s="17"/>
      <c r="K80" s="25" t="str">
        <f>IF(C79=$F$11,SUM($K$18:K79),IF(C80=B80,1/((1+$F$14)^SUM($E$18:E80)),""))</f>
        <v/>
      </c>
    </row>
    <row r="81" spans="2:11" x14ac:dyDescent="0.25">
      <c r="B81" s="18">
        <v>64</v>
      </c>
      <c r="C81" s="19" t="str">
        <f t="shared" si="1"/>
        <v/>
      </c>
      <c r="D81" s="20" t="str">
        <f t="shared" si="2"/>
        <v/>
      </c>
      <c r="E81" s="23" t="str">
        <f t="shared" si="4"/>
        <v/>
      </c>
      <c r="F81" s="17" t="str">
        <f>IF(C80=$F$11,SUM($F$18:F80),IF(C81=B81,IF(C81=$F$11,I80,ROUND(H81-G81,2)),""))</f>
        <v/>
      </c>
      <c r="G81" s="17" t="str">
        <f>IF(C80=$F$11,SUM($G$18:G80),IF(C81=B81,ROUND(((($F$13+1)^((D81-D80)/360))-1)*I80,2),""))</f>
        <v/>
      </c>
      <c r="H81" s="17" t="str">
        <f>IF(C80=$F$11,SUM($H$18:H80),IF(C81=B81,IF(C81=$F$11,F81+G81,ROUND($I$17/VLOOKUP("Totales",$D$18:$K$117,8,FALSE),2)),""))</f>
        <v/>
      </c>
      <c r="I81" s="17" t="str">
        <f t="shared" si="5"/>
        <v/>
      </c>
      <c r="J81" s="17"/>
      <c r="K81" s="25" t="str">
        <f>IF(C80=$F$11,SUM($K$18:K80),IF(C81=B81,1/((1+$F$14)^SUM($E$18:E81)),""))</f>
        <v/>
      </c>
    </row>
    <row r="82" spans="2:11" x14ac:dyDescent="0.25">
      <c r="B82" s="18">
        <v>65</v>
      </c>
      <c r="C82" s="19" t="str">
        <f t="shared" si="1"/>
        <v/>
      </c>
      <c r="D82" s="20" t="str">
        <f t="shared" si="2"/>
        <v/>
      </c>
      <c r="E82" s="23" t="str">
        <f t="shared" si="4"/>
        <v/>
      </c>
      <c r="F82" s="17" t="str">
        <f>IF(C81=$F$11,SUM($F$18:F81),IF(C82=B82,IF(C82=$F$11,I81,ROUND(H82-G82,2)),""))</f>
        <v/>
      </c>
      <c r="G82" s="17" t="str">
        <f>IF(C81=$F$11,SUM($G$18:G81),IF(C82=B82,ROUND(((($F$13+1)^((D82-D81)/360))-1)*I81,2),""))</f>
        <v/>
      </c>
      <c r="H82" s="17" t="str">
        <f>IF(C81=$F$11,SUM($H$18:H81),IF(C82=B82,IF(C82=$F$11,F82+G82,ROUND($I$17/VLOOKUP("Totales",$D$18:$K$117,8,FALSE),2)),""))</f>
        <v/>
      </c>
      <c r="I82" s="17" t="str">
        <f t="shared" si="5"/>
        <v/>
      </c>
      <c r="J82" s="17"/>
      <c r="K82" s="25" t="str">
        <f>IF(C81=$F$11,SUM($K$18:K81),IF(C82=B82,1/((1+$F$14)^SUM($E$18:E82)),""))</f>
        <v/>
      </c>
    </row>
    <row r="83" spans="2:11" x14ac:dyDescent="0.25">
      <c r="B83" s="18">
        <v>66</v>
      </c>
      <c r="C83" s="19" t="str">
        <f t="shared" ref="C83:C117" si="6">IF(B83&lt;=$F$11,B83,"")</f>
        <v/>
      </c>
      <c r="D83" s="20" t="str">
        <f t="shared" ref="D83:D116" si="7">IF(C82=$F$11,"Totales",IF(B83&lt;=$F$11,DATE(IF(MONTH(D82)=12,YEAR(D82)+1,YEAR(D82)),IF(MONTH(D82)=12,1,IF(DAY(D82)&lt;10,MONTH(D82),MONTH(D82)+1)),28),""))</f>
        <v/>
      </c>
      <c r="E83" s="23" t="str">
        <f t="shared" si="4"/>
        <v/>
      </c>
      <c r="F83" s="17" t="str">
        <f>IF(C82=$F$11,SUM($F$18:F82),IF(C83=B83,IF(C83=$F$11,I82,ROUND(H83-G83,2)),""))</f>
        <v/>
      </c>
      <c r="G83" s="17" t="str">
        <f>IF(C82=$F$11,SUM($G$18:G82),IF(C83=B83,ROUND(((($F$13+1)^((D83-D82)/360))-1)*I82,2),""))</f>
        <v/>
      </c>
      <c r="H83" s="17" t="str">
        <f>IF(C82=$F$11,SUM($H$18:H82),IF(C83=B83,IF(C83=$F$11,F83+G83,ROUND($I$17/VLOOKUP("Totales",$D$18:$K$117,8,FALSE),2)),""))</f>
        <v/>
      </c>
      <c r="I83" s="17" t="str">
        <f t="shared" si="5"/>
        <v/>
      </c>
      <c r="J83" s="17"/>
      <c r="K83" s="25" t="str">
        <f>IF(C82=$F$11,SUM($K$18:K82),IF(C83=B83,1/((1+$F$14)^SUM($E$18:E83)),""))</f>
        <v/>
      </c>
    </row>
    <row r="84" spans="2:11" x14ac:dyDescent="0.25">
      <c r="B84" s="18">
        <v>67</v>
      </c>
      <c r="C84" s="19" t="str">
        <f t="shared" si="6"/>
        <v/>
      </c>
      <c r="D84" s="20" t="str">
        <f t="shared" si="7"/>
        <v/>
      </c>
      <c r="E84" s="23" t="str">
        <f t="shared" si="4"/>
        <v/>
      </c>
      <c r="F84" s="17" t="str">
        <f>IF(C83=$F$11,SUM($F$18:F83),IF(C84=B84,IF(C84=$F$11,I83,ROUND(H84-G84,2)),""))</f>
        <v/>
      </c>
      <c r="G84" s="17" t="str">
        <f>IF(C83=$F$11,SUM($G$18:G83),IF(C84=B84,ROUND(((($F$13+1)^((D84-D83)/360))-1)*I83,2),""))</f>
        <v/>
      </c>
      <c r="H84" s="17" t="str">
        <f>IF(C83=$F$11,SUM($H$18:H83),IF(C84=B84,IF(C84=$F$11,F84+G84,ROUND($I$17/VLOOKUP("Totales",$D$18:$K$117,8,FALSE),2)),""))</f>
        <v/>
      </c>
      <c r="I84" s="17" t="str">
        <f t="shared" si="5"/>
        <v/>
      </c>
      <c r="J84" s="17"/>
      <c r="K84" s="25" t="str">
        <f>IF(C83=$F$11,SUM($K$18:K83),IF(C84=B84,1/((1+$F$14)^SUM($E$18:E84)),""))</f>
        <v/>
      </c>
    </row>
    <row r="85" spans="2:11" x14ac:dyDescent="0.25">
      <c r="B85" s="18">
        <v>68</v>
      </c>
      <c r="C85" s="19" t="str">
        <f t="shared" si="6"/>
        <v/>
      </c>
      <c r="D85" s="20" t="str">
        <f t="shared" si="7"/>
        <v/>
      </c>
      <c r="E85" s="23" t="str">
        <f t="shared" si="4"/>
        <v/>
      </c>
      <c r="F85" s="17" t="str">
        <f>IF(C84=$F$11,SUM($F$18:F84),IF(C85=B85,IF(C85=$F$11,I84,ROUND(H85-G85,2)),""))</f>
        <v/>
      </c>
      <c r="G85" s="17" t="str">
        <f>IF(C84=$F$11,SUM($G$18:G84),IF(C85=B85,ROUND(((($F$13+1)^((D85-D84)/360))-1)*I84,2),""))</f>
        <v/>
      </c>
      <c r="H85" s="17" t="str">
        <f>IF(C84=$F$11,SUM($H$18:H84),IF(C85=B85,IF(C85=$F$11,F85+G85,ROUND($I$17/VLOOKUP("Totales",$D$18:$K$117,8,FALSE),2)),""))</f>
        <v/>
      </c>
      <c r="I85" s="17" t="str">
        <f t="shared" si="5"/>
        <v/>
      </c>
      <c r="J85" s="17"/>
      <c r="K85" s="25" t="str">
        <f>IF(C84=$F$11,SUM($K$18:K84),IF(C85=B85,1/((1+$F$14)^SUM($E$18:E85)),""))</f>
        <v/>
      </c>
    </row>
    <row r="86" spans="2:11" x14ac:dyDescent="0.25">
      <c r="B86" s="18">
        <v>69</v>
      </c>
      <c r="C86" s="19" t="str">
        <f t="shared" si="6"/>
        <v/>
      </c>
      <c r="D86" s="20" t="str">
        <f t="shared" si="7"/>
        <v/>
      </c>
      <c r="E86" s="23" t="str">
        <f t="shared" si="4"/>
        <v/>
      </c>
      <c r="F86" s="17" t="str">
        <f>IF(C85=$F$11,SUM($F$18:F85),IF(C86=B86,IF(C86=$F$11,I85,ROUND(H86-G86,2)),""))</f>
        <v/>
      </c>
      <c r="G86" s="17" t="str">
        <f>IF(C85=$F$11,SUM($G$18:G85),IF(C86=B86,ROUND(((($F$13+1)^((D86-D85)/360))-1)*I85,2),""))</f>
        <v/>
      </c>
      <c r="H86" s="17" t="str">
        <f>IF(C85=$F$11,SUM($H$18:H85),IF(C86=B86,IF(C86=$F$11,F86+G86,ROUND($I$17/VLOOKUP("Totales",$D$18:$K$117,8,FALSE),2)),""))</f>
        <v/>
      </c>
      <c r="I86" s="17" t="str">
        <f t="shared" si="5"/>
        <v/>
      </c>
      <c r="J86" s="17"/>
      <c r="K86" s="25" t="str">
        <f>IF(C85=$F$11,SUM($K$18:K85),IF(C86=B86,1/((1+$F$14)^SUM($E$18:E86)),""))</f>
        <v/>
      </c>
    </row>
    <row r="87" spans="2:11" x14ac:dyDescent="0.25">
      <c r="B87" s="18">
        <v>70</v>
      </c>
      <c r="C87" s="19" t="str">
        <f t="shared" si="6"/>
        <v/>
      </c>
      <c r="D87" s="20" t="str">
        <f t="shared" si="7"/>
        <v/>
      </c>
      <c r="E87" s="23" t="str">
        <f t="shared" si="4"/>
        <v/>
      </c>
      <c r="F87" s="17" t="str">
        <f>IF(C86=$F$11,SUM($F$18:F86),IF(C87=B87,IF(C87=$F$11,I86,ROUND(H87-G87,2)),""))</f>
        <v/>
      </c>
      <c r="G87" s="17" t="str">
        <f>IF(C86=$F$11,SUM($G$18:G86),IF(C87=B87,ROUND(((($F$13+1)^((D87-D86)/360))-1)*I86,2),""))</f>
        <v/>
      </c>
      <c r="H87" s="17" t="str">
        <f>IF(C86=$F$11,SUM($H$18:H86),IF(C87=B87,IF(C87=$F$11,F87+G87,ROUND($I$17/VLOOKUP("Totales",$D$18:$K$117,8,FALSE),2)),""))</f>
        <v/>
      </c>
      <c r="I87" s="17" t="str">
        <f t="shared" si="5"/>
        <v/>
      </c>
      <c r="J87" s="17"/>
      <c r="K87" s="25" t="str">
        <f>IF(C86=$F$11,SUM($K$18:K86),IF(C87=B87,1/((1+$F$14)^SUM($E$18:E87)),""))</f>
        <v/>
      </c>
    </row>
    <row r="88" spans="2:11" x14ac:dyDescent="0.25">
      <c r="B88" s="18">
        <v>71</v>
      </c>
      <c r="C88" s="19" t="str">
        <f t="shared" si="6"/>
        <v/>
      </c>
      <c r="D88" s="20" t="str">
        <f t="shared" si="7"/>
        <v/>
      </c>
      <c r="E88" s="23" t="str">
        <f t="shared" si="4"/>
        <v/>
      </c>
      <c r="F88" s="17" t="str">
        <f>IF(C87=$F$11,SUM($F$18:F87),IF(C88=B88,IF(C88=$F$11,I87,ROUND(H88-G88,2)),""))</f>
        <v/>
      </c>
      <c r="G88" s="17" t="str">
        <f>IF(C87=$F$11,SUM($G$18:G87),IF(C88=B88,ROUND(((($F$13+1)^((D88-D87)/360))-1)*I87,2),""))</f>
        <v/>
      </c>
      <c r="H88" s="17" t="str">
        <f>IF(C87=$F$11,SUM($H$18:H87),IF(C88=B88,IF(C88=$F$11,F88+G88,ROUND($I$17/VLOOKUP("Totales",$D$18:$K$117,8,FALSE),2)),""))</f>
        <v/>
      </c>
      <c r="I88" s="17" t="str">
        <f t="shared" si="5"/>
        <v/>
      </c>
      <c r="J88" s="17"/>
      <c r="K88" s="25" t="str">
        <f>IF(C87=$F$11,SUM($K$18:K87),IF(C88=B88,1/((1+$F$14)^SUM($E$18:E88)),""))</f>
        <v/>
      </c>
    </row>
    <row r="89" spans="2:11" x14ac:dyDescent="0.25">
      <c r="B89" s="18">
        <v>72</v>
      </c>
      <c r="C89" s="19" t="str">
        <f t="shared" si="6"/>
        <v/>
      </c>
      <c r="D89" s="20" t="str">
        <f t="shared" si="7"/>
        <v/>
      </c>
      <c r="E89" s="23" t="str">
        <f t="shared" si="4"/>
        <v/>
      </c>
      <c r="F89" s="17" t="str">
        <f>IF(C88=$F$11,SUM($F$18:F88),IF(C89=B89,IF(C89=$F$11,I88,ROUND(H89-G89,2)),""))</f>
        <v/>
      </c>
      <c r="G89" s="17" t="str">
        <f>IF(C88=$F$11,SUM($G$18:G88),IF(C89=B89,ROUND(((($F$13+1)^((D89-D88)/360))-1)*I88,2),""))</f>
        <v/>
      </c>
      <c r="H89" s="17" t="str">
        <f>IF(C88=$F$11,SUM($H$18:H88),IF(C89=B89,IF(C89=$F$11,F89+G89,ROUND($I$17/VLOOKUP("Totales",$D$18:$K$117,8,FALSE),2)),""))</f>
        <v/>
      </c>
      <c r="I89" s="17" t="str">
        <f t="shared" si="5"/>
        <v/>
      </c>
      <c r="J89" s="17"/>
      <c r="K89" s="25" t="str">
        <f>IF(C88=$F$11,SUM($K$18:K88),IF(C89=B89,1/((1+$F$14)^SUM($E$18:E89)),""))</f>
        <v/>
      </c>
    </row>
    <row r="90" spans="2:11" x14ac:dyDescent="0.25">
      <c r="B90" s="18">
        <v>73</v>
      </c>
      <c r="C90" s="19" t="str">
        <f t="shared" si="6"/>
        <v/>
      </c>
      <c r="D90" s="20" t="str">
        <f t="shared" si="7"/>
        <v/>
      </c>
      <c r="E90" s="23" t="str">
        <f t="shared" si="4"/>
        <v/>
      </c>
      <c r="F90" s="17" t="str">
        <f>IF(C89=$F$11,SUM($F$18:F89),IF(C90=B90,IF(C90=$F$11,I89,ROUND(H90-G90,2)),""))</f>
        <v/>
      </c>
      <c r="G90" s="17" t="str">
        <f>IF(C89=$F$11,SUM($G$18:G89),IF(C90=B90,ROUND(((($F$13+1)^((D90-D89)/360))-1)*I89,2),""))</f>
        <v/>
      </c>
      <c r="H90" s="17" t="str">
        <f>IF(C89=$F$11,SUM($H$18:H89),IF(C90=B90,IF(C90=$F$11,F90+G90,ROUND($I$17/VLOOKUP("Totales",$D$18:$K$117,8,FALSE),2)),""))</f>
        <v/>
      </c>
      <c r="I90" s="17" t="str">
        <f t="shared" si="5"/>
        <v/>
      </c>
      <c r="J90" s="17"/>
      <c r="K90" s="25" t="str">
        <f>IF(C89=$F$11,SUM($K$18:K89),IF(C90=B90,1/((1+$F$14)^SUM($E$18:E90)),""))</f>
        <v/>
      </c>
    </row>
    <row r="91" spans="2:11" x14ac:dyDescent="0.25">
      <c r="B91" s="18">
        <v>74</v>
      </c>
      <c r="C91" s="19" t="str">
        <f t="shared" si="6"/>
        <v/>
      </c>
      <c r="D91" s="20" t="str">
        <f t="shared" si="7"/>
        <v/>
      </c>
      <c r="E91" s="23" t="str">
        <f t="shared" si="4"/>
        <v/>
      </c>
      <c r="F91" s="17" t="str">
        <f>IF(C90=$F$11,SUM($F$18:F90),IF(C91=B91,IF(C91=$F$11,I90,ROUND(H91-G91,2)),""))</f>
        <v/>
      </c>
      <c r="G91" s="17" t="str">
        <f>IF(C90=$F$11,SUM($G$18:G90),IF(C91=B91,ROUND(((($F$13+1)^((D91-D90)/360))-1)*I90,2),""))</f>
        <v/>
      </c>
      <c r="H91" s="17" t="str">
        <f>IF(C90=$F$11,SUM($H$18:H90),IF(C91=B91,IF(C91=$F$11,F91+G91,ROUND($I$17/VLOOKUP("Totales",$D$18:$K$117,8,FALSE),2)),""))</f>
        <v/>
      </c>
      <c r="I91" s="17" t="str">
        <f t="shared" si="5"/>
        <v/>
      </c>
      <c r="J91" s="17"/>
      <c r="K91" s="25" t="str">
        <f>IF(C90=$F$11,SUM($K$18:K90),IF(C91=B91,1/((1+$F$14)^SUM($E$18:E91)),""))</f>
        <v/>
      </c>
    </row>
    <row r="92" spans="2:11" x14ac:dyDescent="0.25">
      <c r="B92" s="18">
        <v>75</v>
      </c>
      <c r="C92" s="19" t="str">
        <f t="shared" si="6"/>
        <v/>
      </c>
      <c r="D92" s="20" t="str">
        <f t="shared" si="7"/>
        <v/>
      </c>
      <c r="E92" s="23" t="str">
        <f t="shared" si="4"/>
        <v/>
      </c>
      <c r="F92" s="17" t="str">
        <f>IF(C91=$F$11,SUM($F$18:F91),IF(C92=B92,IF(C92=$F$11,I91,ROUND(H92-G92,2)),""))</f>
        <v/>
      </c>
      <c r="G92" s="17" t="str">
        <f>IF(C91=$F$11,SUM($G$18:G91),IF(C92=B92,ROUND(((($F$13+1)^((D92-D91)/360))-1)*I91,2),""))</f>
        <v/>
      </c>
      <c r="H92" s="17" t="str">
        <f>IF(C91=$F$11,SUM($H$18:H91),IF(C92=B92,IF(C92=$F$11,F92+G92,ROUND($I$17/VLOOKUP("Totales",$D$18:$K$117,8,FALSE),2)),""))</f>
        <v/>
      </c>
      <c r="I92" s="17" t="str">
        <f t="shared" si="5"/>
        <v/>
      </c>
      <c r="J92" s="17"/>
      <c r="K92" s="25" t="str">
        <f>IF(C91=$F$11,SUM($K$18:K91),IF(C92=B92,1/((1+$F$14)^SUM($E$18:E92)),""))</f>
        <v/>
      </c>
    </row>
    <row r="93" spans="2:11" x14ac:dyDescent="0.25">
      <c r="B93" s="18">
        <v>76</v>
      </c>
      <c r="C93" s="19" t="str">
        <f t="shared" si="6"/>
        <v/>
      </c>
      <c r="D93" s="20" t="str">
        <f t="shared" si="7"/>
        <v/>
      </c>
      <c r="E93" s="23" t="str">
        <f t="shared" si="4"/>
        <v/>
      </c>
      <c r="F93" s="17" t="str">
        <f>IF(C92=$F$11,SUM($F$18:F92),IF(C93=B93,IF(C93=$F$11,I92,ROUND(H93-G93,2)),""))</f>
        <v/>
      </c>
      <c r="G93" s="17" t="str">
        <f>IF(C92=$F$11,SUM($G$18:G92),IF(C93=B93,ROUND(((($F$13+1)^((D93-D92)/360))-1)*I92,2),""))</f>
        <v/>
      </c>
      <c r="H93" s="17" t="str">
        <f>IF(C92=$F$11,SUM($H$18:H92),IF(C93=B93,IF(C93=$F$11,F93+G93,ROUND($I$17/VLOOKUP("Totales",$D$18:$K$117,8,FALSE),2)),""))</f>
        <v/>
      </c>
      <c r="I93" s="17" t="str">
        <f t="shared" si="5"/>
        <v/>
      </c>
      <c r="J93" s="17"/>
      <c r="K93" s="25" t="str">
        <f>IF(C92=$F$11,SUM($K$18:K92),IF(C93=B93,1/((1+$F$14)^SUM($E$18:E93)),""))</f>
        <v/>
      </c>
    </row>
    <row r="94" spans="2:11" x14ac:dyDescent="0.25">
      <c r="B94" s="18">
        <v>77</v>
      </c>
      <c r="C94" s="19" t="str">
        <f t="shared" si="6"/>
        <v/>
      </c>
      <c r="D94" s="20" t="str">
        <f t="shared" si="7"/>
        <v/>
      </c>
      <c r="E94" s="23" t="str">
        <f t="shared" si="4"/>
        <v/>
      </c>
      <c r="F94" s="17" t="str">
        <f>IF(C93=$F$11,SUM($F$18:F93),IF(C94=B94,IF(C94=$F$11,I93,ROUND(H94-G94,2)),""))</f>
        <v/>
      </c>
      <c r="G94" s="17" t="str">
        <f>IF(C93=$F$11,SUM($G$18:G93),IF(C94=B94,ROUND(((($F$13+1)^((D94-D93)/360))-1)*I93,2),""))</f>
        <v/>
      </c>
      <c r="H94" s="17" t="str">
        <f>IF(C93=$F$11,SUM($H$18:H93),IF(C94=B94,IF(C94=$F$11,F94+G94,ROUND($I$17/VLOOKUP("Totales",$D$18:$K$117,8,FALSE),2)),""))</f>
        <v/>
      </c>
      <c r="I94" s="17" t="str">
        <f t="shared" si="5"/>
        <v/>
      </c>
      <c r="J94" s="17"/>
      <c r="K94" s="25" t="str">
        <f>IF(C93=$F$11,SUM($K$18:K93),IF(C94=B94,1/((1+$F$14)^SUM($E$18:E94)),""))</f>
        <v/>
      </c>
    </row>
    <row r="95" spans="2:11" x14ac:dyDescent="0.25">
      <c r="B95" s="18">
        <v>78</v>
      </c>
      <c r="C95" s="19" t="str">
        <f t="shared" si="6"/>
        <v/>
      </c>
      <c r="D95" s="20" t="str">
        <f t="shared" si="7"/>
        <v/>
      </c>
      <c r="E95" s="23" t="str">
        <f t="shared" si="4"/>
        <v/>
      </c>
      <c r="F95" s="17" t="str">
        <f>IF(C94=$F$11,SUM($F$18:F94),IF(C95=B95,IF(C95=$F$11,I94,ROUND(H95-G95,2)),""))</f>
        <v/>
      </c>
      <c r="G95" s="17" t="str">
        <f>IF(C94=$F$11,SUM($G$18:G94),IF(C95=B95,ROUND(((($F$13+1)^((D95-D94)/360))-1)*I94,2),""))</f>
        <v/>
      </c>
      <c r="H95" s="17" t="str">
        <f>IF(C94=$F$11,SUM($H$18:H94),IF(C95=B95,IF(C95=$F$11,F95+G95,ROUND($I$17/VLOOKUP("Totales",$D$18:$K$117,8,FALSE),2)),""))</f>
        <v/>
      </c>
      <c r="I95" s="17" t="str">
        <f t="shared" si="5"/>
        <v/>
      </c>
      <c r="J95" s="17"/>
      <c r="K95" s="25" t="str">
        <f>IF(C94=$F$11,SUM($K$18:K94),IF(C95=B95,1/((1+$F$14)^SUM($E$18:E95)),""))</f>
        <v/>
      </c>
    </row>
    <row r="96" spans="2:11" x14ac:dyDescent="0.25">
      <c r="B96" s="18">
        <v>79</v>
      </c>
      <c r="C96" s="19" t="str">
        <f t="shared" si="6"/>
        <v/>
      </c>
      <c r="D96" s="20" t="str">
        <f t="shared" si="7"/>
        <v/>
      </c>
      <c r="E96" s="23" t="str">
        <f t="shared" si="4"/>
        <v/>
      </c>
      <c r="F96" s="17" t="str">
        <f>IF(C95=$F$11,SUM($F$18:F95),IF(C96=B96,IF(C96=$F$11,I95,ROUND(H96-G96,2)),""))</f>
        <v/>
      </c>
      <c r="G96" s="17" t="str">
        <f>IF(C95=$F$11,SUM($G$18:G95),IF(C96=B96,ROUND(((($F$13+1)^((D96-D95)/360))-1)*I95,2),""))</f>
        <v/>
      </c>
      <c r="H96" s="17" t="str">
        <f>IF(C95=$F$11,SUM($H$18:H95),IF(C96=B96,IF(C96=$F$11,F96+G96,ROUND($I$17/VLOOKUP("Totales",$D$18:$K$117,8,FALSE),2)),""))</f>
        <v/>
      </c>
      <c r="I96" s="17" t="str">
        <f t="shared" si="5"/>
        <v/>
      </c>
      <c r="J96" s="17"/>
      <c r="K96" s="25" t="str">
        <f>IF(C95=$F$11,SUM($K$18:K95),IF(C96=B96,1/((1+$F$14)^SUM($E$18:E96)),""))</f>
        <v/>
      </c>
    </row>
    <row r="97" spans="2:11" x14ac:dyDescent="0.25">
      <c r="B97" s="18">
        <v>80</v>
      </c>
      <c r="C97" s="19" t="str">
        <f t="shared" si="6"/>
        <v/>
      </c>
      <c r="D97" s="20" t="str">
        <f t="shared" si="7"/>
        <v/>
      </c>
      <c r="E97" s="23" t="str">
        <f t="shared" si="4"/>
        <v/>
      </c>
      <c r="F97" s="17" t="str">
        <f>IF(C96=$F$11,SUM($F$18:F96),IF(C97=B97,IF(C97=$F$11,I96,ROUND(H97-G97,2)),""))</f>
        <v/>
      </c>
      <c r="G97" s="17" t="str">
        <f>IF(C96=$F$11,SUM($G$18:G96),IF(C97=B97,ROUND(((($F$13+1)^((D97-D96)/360))-1)*I96,2),""))</f>
        <v/>
      </c>
      <c r="H97" s="17" t="str">
        <f>IF(C96=$F$11,SUM($H$18:H96),IF(C97=B97,IF(C97=$F$11,F97+G97,ROUND($I$17/VLOOKUP("Totales",$D$18:$K$117,8,FALSE),2)),""))</f>
        <v/>
      </c>
      <c r="I97" s="17" t="str">
        <f t="shared" si="5"/>
        <v/>
      </c>
      <c r="J97" s="17"/>
      <c r="K97" s="25" t="str">
        <f>IF(C96=$F$11,SUM($K$18:K96),IF(C97=B97,1/((1+$F$14)^SUM($E$18:E97)),""))</f>
        <v/>
      </c>
    </row>
    <row r="98" spans="2:11" x14ac:dyDescent="0.25">
      <c r="B98" s="18">
        <v>81</v>
      </c>
      <c r="C98" s="19" t="str">
        <f t="shared" si="6"/>
        <v/>
      </c>
      <c r="D98" s="20" t="str">
        <f t="shared" si="7"/>
        <v/>
      </c>
      <c r="E98" s="23" t="str">
        <f t="shared" si="4"/>
        <v/>
      </c>
      <c r="F98" s="17" t="str">
        <f>IF(C97=$F$11,SUM($F$18:F97),IF(C98=B98,IF(C98=$F$11,I97,ROUND(H98-G98,2)),""))</f>
        <v/>
      </c>
      <c r="G98" s="17" t="str">
        <f>IF(C97=$F$11,SUM($G$18:G97),IF(C98=B98,ROUND(((($F$13+1)^((D98-D97)/360))-1)*I97,2),""))</f>
        <v/>
      </c>
      <c r="H98" s="17" t="str">
        <f>IF(C97=$F$11,SUM($H$18:H97),IF(C98=B98,IF(C98=$F$11,F98+G98,ROUND($I$17/VLOOKUP("Totales",$D$18:$K$117,8,FALSE),2)),""))</f>
        <v/>
      </c>
      <c r="I98" s="17" t="str">
        <f t="shared" si="5"/>
        <v/>
      </c>
      <c r="J98" s="17"/>
      <c r="K98" s="25" t="str">
        <f>IF(C97=$F$11,SUM($K$18:K97),IF(C98=B98,1/((1+$F$14)^SUM($E$18:E98)),""))</f>
        <v/>
      </c>
    </row>
    <row r="99" spans="2:11" x14ac:dyDescent="0.25">
      <c r="B99" s="18">
        <v>82</v>
      </c>
      <c r="C99" s="19" t="str">
        <f t="shared" si="6"/>
        <v/>
      </c>
      <c r="D99" s="20" t="str">
        <f t="shared" si="7"/>
        <v/>
      </c>
      <c r="E99" s="23" t="str">
        <f t="shared" si="4"/>
        <v/>
      </c>
      <c r="F99" s="17" t="str">
        <f>IF(C98=$F$11,SUM($F$18:F98),IF(C99=B99,IF(C99=$F$11,I98,ROUND(H99-G99,2)),""))</f>
        <v/>
      </c>
      <c r="G99" s="17" t="str">
        <f>IF(C98=$F$11,SUM($G$18:G98),IF(C99=B99,ROUND(((($F$13+1)^((D99-D98)/360))-1)*I98,2),""))</f>
        <v/>
      </c>
      <c r="H99" s="17" t="str">
        <f>IF(C98=$F$11,SUM($H$18:H98),IF(C99=B99,IF(C99=$F$11,F99+G99,ROUND($I$17/VLOOKUP("Totales",$D$18:$K$117,8,FALSE),2)),""))</f>
        <v/>
      </c>
      <c r="I99" s="17" t="str">
        <f t="shared" si="5"/>
        <v/>
      </c>
      <c r="J99" s="17"/>
      <c r="K99" s="25" t="str">
        <f>IF(C98=$F$11,SUM($K$18:K98),IF(C99=B99,1/((1+$F$14)^SUM($E$18:E99)),""))</f>
        <v/>
      </c>
    </row>
    <row r="100" spans="2:11" x14ac:dyDescent="0.25">
      <c r="B100" s="18">
        <v>83</v>
      </c>
      <c r="C100" s="19" t="str">
        <f t="shared" si="6"/>
        <v/>
      </c>
      <c r="D100" s="20" t="str">
        <f t="shared" si="7"/>
        <v/>
      </c>
      <c r="E100" s="23" t="str">
        <f t="shared" si="4"/>
        <v/>
      </c>
      <c r="F100" s="17" t="str">
        <f>IF(C99=$F$11,SUM($F$18:F99),IF(C100=B100,IF(C100=$F$11,I99,ROUND(H100-G100,2)),""))</f>
        <v/>
      </c>
      <c r="G100" s="17" t="str">
        <f>IF(C99=$F$11,SUM($G$18:G99),IF(C100=B100,ROUND(((($F$13+1)^((D100-D99)/360))-1)*I99,2),""))</f>
        <v/>
      </c>
      <c r="H100" s="17" t="str">
        <f>IF(C99=$F$11,SUM($H$18:H99),IF(C100=B100,IF(C100=$F$11,F100+G100,ROUND($I$17/VLOOKUP("Totales",$D$18:$K$117,8,FALSE),2)),""))</f>
        <v/>
      </c>
      <c r="I100" s="17" t="str">
        <f t="shared" si="5"/>
        <v/>
      </c>
      <c r="J100" s="17"/>
      <c r="K100" s="25" t="str">
        <f>IF(C99=$F$11,SUM($K$18:K99),IF(C100=B100,1/((1+$F$14)^SUM($E$18:E100)),""))</f>
        <v/>
      </c>
    </row>
    <row r="101" spans="2:11" x14ac:dyDescent="0.25">
      <c r="B101" s="18">
        <v>84</v>
      </c>
      <c r="C101" s="19" t="str">
        <f t="shared" si="6"/>
        <v/>
      </c>
      <c r="D101" s="20" t="str">
        <f t="shared" si="7"/>
        <v/>
      </c>
      <c r="E101" s="23" t="str">
        <f t="shared" si="4"/>
        <v/>
      </c>
      <c r="F101" s="17" t="str">
        <f>IF(C100=$F$11,SUM($F$18:F100),IF(C101=B101,IF(C101=$F$11,I100,ROUND(H101-G101,2)),""))</f>
        <v/>
      </c>
      <c r="G101" s="17" t="str">
        <f>IF(C100=$F$11,SUM($G$18:G100),IF(C101=B101,ROUND(((($F$13+1)^((D101-D100)/360))-1)*I100,2),""))</f>
        <v/>
      </c>
      <c r="H101" s="17" t="str">
        <f>IF(C100=$F$11,SUM($H$18:H100),IF(C101=B101,IF(C101=$F$11,F101+G101,ROUND($I$17/VLOOKUP("Totales",$D$18:$K$117,8,FALSE),2)),""))</f>
        <v/>
      </c>
      <c r="I101" s="17" t="str">
        <f t="shared" si="5"/>
        <v/>
      </c>
      <c r="J101" s="17"/>
      <c r="K101" s="25" t="str">
        <f>IF(C100=$F$11,SUM($K$18:K100),IF(C101=B101,1/((1+$F$14)^SUM($E$18:E101)),""))</f>
        <v/>
      </c>
    </row>
    <row r="102" spans="2:11" x14ac:dyDescent="0.25">
      <c r="B102" s="18">
        <v>85</v>
      </c>
      <c r="C102" s="19" t="str">
        <f t="shared" si="6"/>
        <v/>
      </c>
      <c r="D102" s="20" t="str">
        <f t="shared" si="7"/>
        <v/>
      </c>
      <c r="E102" s="23" t="str">
        <f t="shared" si="4"/>
        <v/>
      </c>
      <c r="F102" s="17" t="str">
        <f>IF(C101=$F$11,SUM($F$18:F101),IF(C102=B102,IF(C102=$F$11,I101,ROUND(H102-G102,2)),""))</f>
        <v/>
      </c>
      <c r="G102" s="17" t="str">
        <f>IF(C101=$F$11,SUM($G$18:G101),IF(C102=B102,ROUND(((($F$13+1)^((D102-D101)/360))-1)*I101,2),""))</f>
        <v/>
      </c>
      <c r="H102" s="17" t="str">
        <f>IF(C101=$F$11,SUM($H$18:H101),IF(C102=B102,IF(C102=$F$11,F102+G102,ROUND($I$17/VLOOKUP("Totales",$D$18:$K$117,8,FALSE),2)),""))</f>
        <v/>
      </c>
      <c r="I102" s="17" t="str">
        <f t="shared" si="5"/>
        <v/>
      </c>
      <c r="J102" s="17"/>
      <c r="K102" s="25" t="str">
        <f>IF(C101=$F$11,SUM($K$18:K101),IF(C102=B102,1/((1+$F$14)^SUM($E$18:E102)),""))</f>
        <v/>
      </c>
    </row>
    <row r="103" spans="2:11" x14ac:dyDescent="0.25">
      <c r="B103" s="18">
        <v>86</v>
      </c>
      <c r="C103" s="19" t="str">
        <f t="shared" si="6"/>
        <v/>
      </c>
      <c r="D103" s="20" t="str">
        <f t="shared" si="7"/>
        <v/>
      </c>
      <c r="E103" s="23" t="str">
        <f t="shared" si="4"/>
        <v/>
      </c>
      <c r="F103" s="17" t="str">
        <f>IF(C102=$F$11,SUM($F$18:F102),IF(C103=B103,IF(C103=$F$11,I102,ROUND(H103-G103,2)),""))</f>
        <v/>
      </c>
      <c r="G103" s="17" t="str">
        <f>IF(C102=$F$11,SUM($G$18:G102),IF(C103=B103,ROUND(((($F$13+1)^((D103-D102)/360))-1)*I102,2),""))</f>
        <v/>
      </c>
      <c r="H103" s="17" t="str">
        <f>IF(C102=$F$11,SUM($H$18:H102),IF(C103=B103,IF(C103=$F$11,F103+G103,ROUND($I$17/VLOOKUP("Totales",$D$18:$K$117,8,FALSE),2)),""))</f>
        <v/>
      </c>
      <c r="I103" s="17" t="str">
        <f t="shared" si="5"/>
        <v/>
      </c>
      <c r="J103" s="17"/>
      <c r="K103" s="25" t="str">
        <f>IF(C102=$F$11,SUM($K$18:K102),IF(C103=B103,1/((1+$F$14)^SUM($E$18:E103)),""))</f>
        <v/>
      </c>
    </row>
    <row r="104" spans="2:11" x14ac:dyDescent="0.25">
      <c r="B104" s="18">
        <v>87</v>
      </c>
      <c r="C104" s="19" t="str">
        <f t="shared" si="6"/>
        <v/>
      </c>
      <c r="D104" s="20" t="str">
        <f t="shared" si="7"/>
        <v/>
      </c>
      <c r="E104" s="23" t="str">
        <f t="shared" si="4"/>
        <v/>
      </c>
      <c r="F104" s="17" t="str">
        <f>IF(C103=$F$11,SUM($F$18:F103),IF(C104=B104,IF(C104=$F$11,I103,ROUND(H104-G104,2)),""))</f>
        <v/>
      </c>
      <c r="G104" s="17" t="str">
        <f>IF(C103=$F$11,SUM($G$18:G103),IF(C104=B104,ROUND(((($F$13+1)^((D104-D103)/360))-1)*I103,2),""))</f>
        <v/>
      </c>
      <c r="H104" s="17" t="str">
        <f>IF(C103=$F$11,SUM($H$18:H103),IF(C104=B104,IF(C104=$F$11,F104+G104,ROUND($I$17/VLOOKUP("Totales",$D$18:$K$117,8,FALSE),2)),""))</f>
        <v/>
      </c>
      <c r="I104" s="17" t="str">
        <f t="shared" si="5"/>
        <v/>
      </c>
      <c r="J104" s="17"/>
      <c r="K104" s="25" t="str">
        <f>IF(C103=$F$11,SUM($K$18:K103),IF(C104=B104,1/((1+$F$14)^SUM($E$18:E104)),""))</f>
        <v/>
      </c>
    </row>
    <row r="105" spans="2:11" x14ac:dyDescent="0.25">
      <c r="B105" s="18">
        <v>88</v>
      </c>
      <c r="C105" s="19" t="str">
        <f t="shared" si="6"/>
        <v/>
      </c>
      <c r="D105" s="20" t="str">
        <f t="shared" si="7"/>
        <v/>
      </c>
      <c r="E105" s="23" t="str">
        <f t="shared" si="4"/>
        <v/>
      </c>
      <c r="F105" s="17" t="str">
        <f>IF(C104=$F$11,SUM($F$18:F104),IF(C105=B105,IF(C105=$F$11,I104,ROUND(H105-G105,2)),""))</f>
        <v/>
      </c>
      <c r="G105" s="17" t="str">
        <f>IF(C104=$F$11,SUM($G$18:G104),IF(C105=B105,ROUND(((($F$13+1)^((D105-D104)/360))-1)*I104,2),""))</f>
        <v/>
      </c>
      <c r="H105" s="17" t="str">
        <f>IF(C104=$F$11,SUM($H$18:H104),IF(C105=B105,IF(C105=$F$11,F105+G105,ROUND($I$17/VLOOKUP("Totales",$D$18:$K$117,8,FALSE),2)),""))</f>
        <v/>
      </c>
      <c r="I105" s="17" t="str">
        <f t="shared" si="5"/>
        <v/>
      </c>
      <c r="J105" s="17"/>
      <c r="K105" s="25" t="str">
        <f>IF(C104=$F$11,SUM($K$18:K104),IF(C105=B105,1/((1+$F$14)^SUM($E$18:E105)),""))</f>
        <v/>
      </c>
    </row>
    <row r="106" spans="2:11" x14ac:dyDescent="0.25">
      <c r="B106" s="18">
        <v>89</v>
      </c>
      <c r="C106" s="19" t="str">
        <f t="shared" si="6"/>
        <v/>
      </c>
      <c r="D106" s="20" t="str">
        <f t="shared" si="7"/>
        <v/>
      </c>
      <c r="E106" s="23" t="str">
        <f t="shared" si="4"/>
        <v/>
      </c>
      <c r="F106" s="17" t="str">
        <f>IF(C105=$F$11,SUM($F$18:F105),IF(C106=B106,IF(C106=$F$11,I105,ROUND(H106-G106,2)),""))</f>
        <v/>
      </c>
      <c r="G106" s="17" t="str">
        <f>IF(C105=$F$11,SUM($G$18:G105),IF(C106=B106,ROUND(((($F$13+1)^((D106-D105)/360))-1)*I105,2),""))</f>
        <v/>
      </c>
      <c r="H106" s="17" t="str">
        <f>IF(C105=$F$11,SUM($H$18:H105),IF(C106=B106,IF(C106=$F$11,F106+G106,ROUND($I$17/VLOOKUP("Totales",$D$18:$K$117,8,FALSE),2)),""))</f>
        <v/>
      </c>
      <c r="I106" s="17" t="str">
        <f t="shared" si="5"/>
        <v/>
      </c>
      <c r="J106" s="17"/>
      <c r="K106" s="25" t="str">
        <f>IF(C105=$F$11,SUM($K$18:K105),IF(C106=B106,1/((1+$F$14)^SUM($E$18:E106)),""))</f>
        <v/>
      </c>
    </row>
    <row r="107" spans="2:11" x14ac:dyDescent="0.25">
      <c r="B107" s="18">
        <v>90</v>
      </c>
      <c r="C107" s="19" t="str">
        <f t="shared" si="6"/>
        <v/>
      </c>
      <c r="D107" s="20" t="str">
        <f t="shared" si="7"/>
        <v/>
      </c>
      <c r="E107" s="23" t="str">
        <f t="shared" si="4"/>
        <v/>
      </c>
      <c r="F107" s="17" t="str">
        <f>IF(C106=$F$11,SUM($F$18:F106),IF(C107=B107,IF(C107=$F$11,I106,ROUND(H107-G107,2)),""))</f>
        <v/>
      </c>
      <c r="G107" s="17" t="str">
        <f>IF(C106=$F$11,SUM($G$18:G106),IF(C107=B107,ROUND(((($F$13+1)^((D107-D106)/360))-1)*I106,2),""))</f>
        <v/>
      </c>
      <c r="H107" s="17" t="str">
        <f>IF(C106=$F$11,SUM($H$18:H106),IF(C107=B107,IF(C107=$F$11,F107+G107,ROUND($I$17/VLOOKUP("Totales",$D$18:$K$117,8,FALSE),2)),""))</f>
        <v/>
      </c>
      <c r="I107" s="17" t="str">
        <f t="shared" si="5"/>
        <v/>
      </c>
      <c r="J107" s="17"/>
      <c r="K107" s="25" t="str">
        <f>IF(C106=$F$11,SUM($K$18:K106),IF(C107=B107,1/((1+$F$14)^SUM($E$18:E107)),""))</f>
        <v/>
      </c>
    </row>
    <row r="108" spans="2:11" x14ac:dyDescent="0.25">
      <c r="B108" s="18">
        <v>91</v>
      </c>
      <c r="C108" s="19" t="str">
        <f t="shared" si="6"/>
        <v/>
      </c>
      <c r="D108" s="20" t="str">
        <f t="shared" si="7"/>
        <v/>
      </c>
      <c r="E108" s="23" t="str">
        <f t="shared" si="4"/>
        <v/>
      </c>
      <c r="F108" s="17" t="str">
        <f>IF(C107=$F$11,SUM($F$18:F107),IF(C108=B108,IF(C108=$F$11,I107,ROUND(H108-G108,2)),""))</f>
        <v/>
      </c>
      <c r="G108" s="17" t="str">
        <f>IF(C107=$F$11,SUM($G$18:G107),IF(C108=B108,ROUND(((($F$13+1)^((D108-D107)/360))-1)*I107,2),""))</f>
        <v/>
      </c>
      <c r="H108" s="17" t="str">
        <f>IF(C107=$F$11,SUM($H$18:H107),IF(C108=B108,IF(C108=$F$11,F108+G108,ROUND($I$17/VLOOKUP("Totales",$D$18:$K$117,8,FALSE),2)),""))</f>
        <v/>
      </c>
      <c r="I108" s="17" t="str">
        <f t="shared" si="5"/>
        <v/>
      </c>
      <c r="J108" s="17"/>
      <c r="K108" s="25" t="str">
        <f>IF(C107=$F$11,SUM($K$18:K107),IF(C108=B108,1/((1+$F$14)^SUM($E$18:E108)),""))</f>
        <v/>
      </c>
    </row>
    <row r="109" spans="2:11" x14ac:dyDescent="0.25">
      <c r="B109" s="18">
        <v>92</v>
      </c>
      <c r="C109" s="19" t="str">
        <f t="shared" si="6"/>
        <v/>
      </c>
      <c r="D109" s="20" t="str">
        <f t="shared" si="7"/>
        <v/>
      </c>
      <c r="E109" s="23" t="str">
        <f t="shared" si="4"/>
        <v/>
      </c>
      <c r="F109" s="17" t="str">
        <f>IF(C108=$F$11,SUM($F$18:F108),IF(C109=B109,IF(C109=$F$11,I108,ROUND(H109-G109,2)),""))</f>
        <v/>
      </c>
      <c r="G109" s="17" t="str">
        <f>IF(C108=$F$11,SUM($G$18:G108),IF(C109=B109,ROUND(((($F$13+1)^((D109-D108)/360))-1)*I108,2),""))</f>
        <v/>
      </c>
      <c r="H109" s="17" t="str">
        <f>IF(C108=$F$11,SUM($H$18:H108),IF(C109=B109,IF(C109=$F$11,F109+G109,ROUND($I$17/VLOOKUP("Totales",$D$18:$K$117,8,FALSE),2)),""))</f>
        <v/>
      </c>
      <c r="I109" s="17" t="str">
        <f t="shared" si="5"/>
        <v/>
      </c>
      <c r="J109" s="17"/>
      <c r="K109" s="25" t="str">
        <f>IF(C108=$F$11,SUM($K$18:K108),IF(C109=B109,1/((1+$F$14)^SUM($E$18:E109)),""))</f>
        <v/>
      </c>
    </row>
    <row r="110" spans="2:11" x14ac:dyDescent="0.25">
      <c r="B110" s="18">
        <v>93</v>
      </c>
      <c r="C110" s="19" t="str">
        <f t="shared" si="6"/>
        <v/>
      </c>
      <c r="D110" s="20" t="str">
        <f t="shared" si="7"/>
        <v/>
      </c>
      <c r="E110" s="23" t="str">
        <f t="shared" si="4"/>
        <v/>
      </c>
      <c r="F110" s="17" t="str">
        <f>IF(C109=$F$11,SUM($F$18:F109),IF(C110=B110,IF(C110=$F$11,I109,ROUND(H110-G110,2)),""))</f>
        <v/>
      </c>
      <c r="G110" s="17" t="str">
        <f>IF(C109=$F$11,SUM($G$18:G109),IF(C110=B110,ROUND(((($F$13+1)^((D110-D109)/360))-1)*I109,2),""))</f>
        <v/>
      </c>
      <c r="H110" s="17" t="str">
        <f>IF(C109=$F$11,SUM($H$18:H109),IF(C110=B110,IF(C110=$F$11,F110+G110,ROUND($I$17/VLOOKUP("Totales",$D$18:$K$117,8,FALSE),2)),""))</f>
        <v/>
      </c>
      <c r="I110" s="17" t="str">
        <f t="shared" si="5"/>
        <v/>
      </c>
      <c r="J110" s="17"/>
      <c r="K110" s="25" t="str">
        <f>IF(C109=$F$11,SUM($K$18:K109),IF(C110=B110,1/((1+$F$14)^SUM($E$18:E110)),""))</f>
        <v/>
      </c>
    </row>
    <row r="111" spans="2:11" x14ac:dyDescent="0.25">
      <c r="B111" s="18">
        <v>94</v>
      </c>
      <c r="C111" s="19" t="str">
        <f t="shared" si="6"/>
        <v/>
      </c>
      <c r="D111" s="20" t="str">
        <f t="shared" si="7"/>
        <v/>
      </c>
      <c r="E111" s="23" t="str">
        <f t="shared" si="4"/>
        <v/>
      </c>
      <c r="F111" s="17" t="str">
        <f>IF(C110=$F$11,SUM($F$18:F110),IF(C111=B111,IF(C111=$F$11,I110,ROUND(H111-G111,2)),""))</f>
        <v/>
      </c>
      <c r="G111" s="17" t="str">
        <f>IF(C110=$F$11,SUM($G$18:G110),IF(C111=B111,ROUND(((($F$13+1)^((D111-D110)/360))-1)*I110,2),""))</f>
        <v/>
      </c>
      <c r="H111" s="17" t="str">
        <f>IF(C110=$F$11,SUM($H$18:H110),IF(C111=B111,IF(C111=$F$11,F111+G111,ROUND($I$17/VLOOKUP("Totales",$D$18:$K$117,8,FALSE),2)),""))</f>
        <v/>
      </c>
      <c r="I111" s="17" t="str">
        <f t="shared" si="5"/>
        <v/>
      </c>
      <c r="J111" s="17"/>
      <c r="K111" s="25" t="str">
        <f>IF(C110=$F$11,SUM($K$18:K110),IF(C111=B111,1/((1+$F$14)^SUM($E$18:E111)),""))</f>
        <v/>
      </c>
    </row>
    <row r="112" spans="2:11" x14ac:dyDescent="0.25">
      <c r="B112" s="18">
        <v>95</v>
      </c>
      <c r="C112" s="19" t="str">
        <f t="shared" si="6"/>
        <v/>
      </c>
      <c r="D112" s="20" t="str">
        <f t="shared" si="7"/>
        <v/>
      </c>
      <c r="E112" s="23" t="str">
        <f t="shared" si="4"/>
        <v/>
      </c>
      <c r="F112" s="17" t="str">
        <f>IF(C111=$F$11,SUM($F$18:F111),IF(C112=B112,IF(C112=$F$11,I111,ROUND(H112-G112,2)),""))</f>
        <v/>
      </c>
      <c r="G112" s="17" t="str">
        <f>IF(C111=$F$11,SUM($G$18:G111),IF(C112=B112,ROUND(((($F$13+1)^((D112-D111)/360))-1)*I111,2),""))</f>
        <v/>
      </c>
      <c r="H112" s="17" t="str">
        <f>IF(C111=$F$11,SUM($H$18:H111),IF(C112=B112,IF(C112=$F$11,F112+G112,ROUND($I$17/VLOOKUP("Totales",$D$18:$K$117,8,FALSE),2)),""))</f>
        <v/>
      </c>
      <c r="I112" s="17" t="str">
        <f t="shared" si="5"/>
        <v/>
      </c>
      <c r="J112" s="17"/>
      <c r="K112" s="25" t="str">
        <f>IF(C111=$F$11,SUM($K$18:K111),IF(C112=B112,1/((1+$F$14)^SUM($E$18:E112)),""))</f>
        <v/>
      </c>
    </row>
    <row r="113" spans="2:11" x14ac:dyDescent="0.25">
      <c r="B113" s="18">
        <v>96</v>
      </c>
      <c r="C113" s="19" t="str">
        <f t="shared" si="6"/>
        <v/>
      </c>
      <c r="D113" s="20" t="str">
        <f t="shared" si="7"/>
        <v/>
      </c>
      <c r="E113" s="23" t="str">
        <f t="shared" si="4"/>
        <v/>
      </c>
      <c r="F113" s="17" t="str">
        <f>IF(C112=$F$11,SUM($F$18:F112),IF(C113=B113,IF(C113=$F$11,I112,ROUND(H113-G113,2)),""))</f>
        <v/>
      </c>
      <c r="G113" s="17" t="str">
        <f>IF(C112=$F$11,SUM($G$18:G112),IF(C113=B113,ROUND(((($F$13+1)^((D113-D112)/360))-1)*I112,2),""))</f>
        <v/>
      </c>
      <c r="H113" s="17" t="str">
        <f>IF(C112=$F$11,SUM($H$18:H112),IF(C113=B113,IF(C113=$F$11,F113+G113,ROUND($I$17/VLOOKUP("Totales",$D$18:$K$117,8,FALSE),2)),""))</f>
        <v/>
      </c>
      <c r="I113" s="17" t="str">
        <f t="shared" si="5"/>
        <v/>
      </c>
      <c r="J113" s="17"/>
      <c r="K113" s="25" t="str">
        <f>IF(C112=$F$11,SUM($K$18:K112),IF(C113=B113,1/((1+$F$14)^SUM($E$18:E113)),""))</f>
        <v/>
      </c>
    </row>
    <row r="114" spans="2:11" x14ac:dyDescent="0.25">
      <c r="B114" s="18">
        <v>97</v>
      </c>
      <c r="C114" s="19" t="str">
        <f t="shared" si="6"/>
        <v/>
      </c>
      <c r="D114" s="20" t="str">
        <f t="shared" si="7"/>
        <v/>
      </c>
      <c r="E114" s="23" t="str">
        <f t="shared" si="4"/>
        <v/>
      </c>
      <c r="F114" s="17" t="str">
        <f>IF(C113=$F$11,SUM($F$18:F113),IF(C114=B114,IF(C114=$F$11,I113,ROUND(H114-G114,2)),""))</f>
        <v/>
      </c>
      <c r="G114" s="17" t="str">
        <f>IF(C113=$F$11,SUM($G$18:G113),IF(C114=B114,ROUND(((($F$13+1)^((D114-D113)/360))-1)*I113,2),""))</f>
        <v/>
      </c>
      <c r="H114" s="17" t="str">
        <f>IF(C113=$F$11,SUM($H$18:H113),IF(C114=B114,IF(C114=$F$11,F114+G114,ROUND($I$17/VLOOKUP("Totales",$D$18:$K$117,8,FALSE),2)),""))</f>
        <v/>
      </c>
      <c r="I114" s="17" t="str">
        <f t="shared" si="5"/>
        <v/>
      </c>
      <c r="J114" s="17"/>
      <c r="K114" s="25" t="str">
        <f>IF(C113=$F$11,SUM($K$18:K113),IF(C114=B114,1/((1+$F$14)^SUM($E$18:E114)),""))</f>
        <v/>
      </c>
    </row>
    <row r="115" spans="2:11" x14ac:dyDescent="0.25">
      <c r="B115" s="18">
        <v>98</v>
      </c>
      <c r="C115" s="19" t="str">
        <f t="shared" si="6"/>
        <v/>
      </c>
      <c r="D115" s="20" t="str">
        <f t="shared" si="7"/>
        <v/>
      </c>
      <c r="E115" s="23" t="str">
        <f t="shared" si="4"/>
        <v/>
      </c>
      <c r="F115" s="17" t="str">
        <f>IF(C114=$F$11,SUM($F$18:F114),IF(C115=B115,IF(C115=$F$11,I114,ROUND(H115-G115,2)),""))</f>
        <v/>
      </c>
      <c r="G115" s="17" t="str">
        <f>IF(C114=$F$11,SUM($G$18:G114),IF(C115=B115,ROUND(((($F$13+1)^((D115-D114)/360))-1)*I114,2),""))</f>
        <v/>
      </c>
      <c r="H115" s="17" t="str">
        <f>IF(C114=$F$11,SUM($H$18:H114),IF(C115=B115,IF(C115=$F$11,F115+G115,ROUND($I$17/VLOOKUP("Totales",$D$18:$K$117,8,FALSE),2)),""))</f>
        <v/>
      </c>
      <c r="I115" s="17" t="str">
        <f t="shared" si="5"/>
        <v/>
      </c>
      <c r="J115" s="17"/>
      <c r="K115" s="25" t="str">
        <f>IF(C114=$F$11,SUM($K$18:K114),IF(C115=B115,1/((1+$F$14)^SUM($E$18:E115)),""))</f>
        <v/>
      </c>
    </row>
    <row r="116" spans="2:11" x14ac:dyDescent="0.25">
      <c r="B116" s="18">
        <v>99</v>
      </c>
      <c r="C116" s="19" t="str">
        <f t="shared" si="6"/>
        <v/>
      </c>
      <c r="D116" s="20" t="str">
        <f t="shared" si="7"/>
        <v/>
      </c>
      <c r="E116" s="23" t="str">
        <f t="shared" si="4"/>
        <v/>
      </c>
      <c r="F116" s="17" t="str">
        <f>IF(C115=$F$11,SUM($F$18:F115),IF(C116=B116,IF(C116=$F$11,I115,ROUND(H116-G116,2)),""))</f>
        <v/>
      </c>
      <c r="G116" s="17" t="str">
        <f>IF(C115=$F$11,SUM($G$18:G115),IF(C116=B116,ROUND(((($F$13+1)^((D116-D115)/360))-1)*I115,2),""))</f>
        <v/>
      </c>
      <c r="H116" s="17" t="str">
        <f>IF(C115=$F$11,SUM($H$18:H115),IF(C116=B116,IF(C116=$F$11,F116+G116,ROUND($I$17/VLOOKUP("Totales",$D$18:$K$117,8,FALSE),2)),""))</f>
        <v/>
      </c>
      <c r="I116" s="17" t="str">
        <f t="shared" si="5"/>
        <v/>
      </c>
      <c r="J116" s="17"/>
      <c r="K116" s="25" t="str">
        <f>IF(C115=$F$11,SUM($K$18:K115),IF(C116=B116,1/((1+$F$14)^SUM($E$18:E116)),""))</f>
        <v/>
      </c>
    </row>
    <row r="117" spans="2:11" x14ac:dyDescent="0.25">
      <c r="B117" s="18">
        <v>100</v>
      </c>
      <c r="C117" s="19" t="str">
        <f t="shared" si="6"/>
        <v/>
      </c>
      <c r="D117" s="20" t="str">
        <f t="shared" ref="D117" si="8">IF(C116=$F$11,"Totales",IF(B117&lt;=$F$11,DATE(IF(MONTH(D116)=12,YEAR(D116)+1,YEAR(D116)),IF(MONTH(D116)=12,1,MONTH(D116)+1),10),""))</f>
        <v/>
      </c>
      <c r="E117" s="23" t="str">
        <f t="shared" si="4"/>
        <v/>
      </c>
      <c r="F117" s="17" t="str">
        <f>IF(C116=$F$11,SUM($F$18:F116),IF(C117=B117,IF(C117=$F$11,I116,ROUND(H117-G117,2)),""))</f>
        <v/>
      </c>
      <c r="G117" s="17" t="str">
        <f>IF(C116=$F$11,SUM($G$18:G116),IF(C117=B117,ROUND(((($F$13+1)^((D117-D116)/360))-1)*I116,2),""))</f>
        <v/>
      </c>
      <c r="H117" s="17" t="str">
        <f>IF(C116=$F$11,SUM($H$18:H116),IF(C117=B117,IF(C117=$F$11,F117+G117,ROUND($I$17/VLOOKUP("Totales",$D$18:$K$117,8,FALSE),2)),""))</f>
        <v/>
      </c>
      <c r="I117" s="17" t="str">
        <f t="shared" si="5"/>
        <v/>
      </c>
      <c r="J117" s="17"/>
      <c r="K117" s="25" t="str">
        <f>IF(C116=$F$11,SUM($K$18:K116),IF(C117=B117,1/((1+$F$14)^SUM($E$18:E117)),""))</f>
        <v/>
      </c>
    </row>
    <row r="118" spans="2:11" x14ac:dyDescent="0.25">
      <c r="B118" s="18"/>
    </row>
    <row r="119" spans="2:11" x14ac:dyDescent="0.25">
      <c r="B119" s="18"/>
    </row>
    <row r="120" spans="2:11" x14ac:dyDescent="0.25">
      <c r="B120" s="18"/>
    </row>
    <row r="121" spans="2:11" x14ac:dyDescent="0.25">
      <c r="B121" s="18"/>
    </row>
    <row r="122" spans="2:11" x14ac:dyDescent="0.25">
      <c r="B122" s="18"/>
    </row>
    <row r="123" spans="2:11" x14ac:dyDescent="0.25">
      <c r="B123" s="18"/>
    </row>
    <row r="124" spans="2:11" x14ac:dyDescent="0.25">
      <c r="B124" s="18"/>
    </row>
    <row r="125" spans="2:11" x14ac:dyDescent="0.25">
      <c r="B125" s="18"/>
    </row>
    <row r="126" spans="2:11" x14ac:dyDescent="0.25">
      <c r="B126" s="18"/>
    </row>
    <row r="127" spans="2:11" x14ac:dyDescent="0.25">
      <c r="B127" s="18"/>
    </row>
    <row r="128" spans="2:11" x14ac:dyDescent="0.25">
      <c r="B128" s="18"/>
    </row>
    <row r="129" spans="2:2" x14ac:dyDescent="0.25">
      <c r="B129" s="18"/>
    </row>
  </sheetData>
  <sheetProtection algorithmName="SHA-512" hashValue="jc4qz0pLscKF1Yt0VfsydmFkdgdoGQJsrlQ1pdh0dXIhNR0yHT2XGYdwL1vulB3pvM51q3PJ6ATEOzIgNrAx6Q==" saltValue="VpbUwwydARYI/a/oE/XqpQ==" spinCount="100000" sheet="1" objects="1" scenarios="1" selectLockedCells="1"/>
  <mergeCells count="11">
    <mergeCell ref="C2:I2"/>
    <mergeCell ref="C3:I3"/>
    <mergeCell ref="F12:I12"/>
    <mergeCell ref="F13:I13"/>
    <mergeCell ref="F14:I14"/>
    <mergeCell ref="C6:F6"/>
    <mergeCell ref="C7:F7"/>
    <mergeCell ref="C8:I8"/>
    <mergeCell ref="C9:I9"/>
    <mergeCell ref="F10:I10"/>
    <mergeCell ref="F11:I11"/>
  </mergeCells>
  <conditionalFormatting sqref="J16 L66:M68 C117:K117 F10:F11 C106:C116 E106:K116">
    <cfRule type="cellIs" dxfId="9" priority="4" stopIfTrue="1" operator="notEqual">
      <formula>""</formula>
    </cfRule>
  </conditionalFormatting>
  <conditionalFormatting sqref="J18:J65 K18:K105 C17:I18 C19:C105 E19:I65 E66:J105 D19:D116">
    <cfRule type="cellIs" dxfId="8" priority="3" stopIfTrue="1" operator="notEqual">
      <formula>""</formula>
    </cfRule>
  </conditionalFormatting>
  <conditionalFormatting sqref="F12">
    <cfRule type="cellIs" dxfId="7" priority="2" stopIfTrue="1" operator="notEqual">
      <formula>""</formula>
    </cfRule>
  </conditionalFormatting>
  <conditionalFormatting sqref="A68">
    <cfRule type="cellIs" dxfId="6" priority="1" stopIfTrue="1" operator="notEqual">
      <formula>""</formula>
    </cfRule>
  </conditionalFormatting>
  <dataValidations count="1">
    <dataValidation type="list" allowBlank="1" showInputMessage="1" showErrorMessage="1" errorTitle="PÑPÑ" error="ZXCB" sqref="C8:I8" xr:uid="{00000000-0002-0000-0500-000000000000}">
      <formula1>$K$4:$K$5</formula1>
    </dataValidation>
  </dataValidations>
  <printOptions horizontalCentered="1"/>
  <pageMargins left="0.19685039370078741" right="0.19685039370078741" top="0.35433070866141736" bottom="0.35433070866141736" header="0.31496062992125984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1"/>
  <sheetViews>
    <sheetView showGridLines="0" zoomScale="85" zoomScaleNormal="85" workbookViewId="0"/>
  </sheetViews>
  <sheetFormatPr baseColWidth="10" defaultColWidth="11.453125" defaultRowHeight="12.5" x14ac:dyDescent="0.25"/>
  <cols>
    <col min="1" max="1" width="11.453125" style="1"/>
    <col min="2" max="2" width="3.1796875" style="1" bestFit="1" customWidth="1"/>
    <col min="3" max="3" width="9.7265625" style="1" customWidth="1"/>
    <col min="4" max="4" width="14.453125" style="1" customWidth="1"/>
    <col min="5" max="5" width="4.7265625" style="1" bestFit="1" customWidth="1"/>
    <col min="6" max="9" width="18.7265625" style="1" customWidth="1"/>
    <col min="10" max="10" width="11.1796875" style="1" hidden="1" customWidth="1"/>
    <col min="11" max="11" width="25" style="1" hidden="1" customWidth="1"/>
    <col min="12" max="16384" width="11.453125" style="1"/>
  </cols>
  <sheetData>
    <row r="2" spans="2:12" x14ac:dyDescent="0.25">
      <c r="G2" s="2"/>
    </row>
    <row r="3" spans="2:12" ht="15.5" x14ac:dyDescent="0.35">
      <c r="C3" s="39" t="s">
        <v>20</v>
      </c>
      <c r="K3" s="1" t="s">
        <v>0</v>
      </c>
    </row>
    <row r="4" spans="2:12" x14ac:dyDescent="0.25">
      <c r="K4" s="1" t="s">
        <v>1</v>
      </c>
    </row>
    <row r="5" spans="2:12" ht="18" customHeight="1" x14ac:dyDescent="0.25">
      <c r="C5" s="69"/>
      <c r="D5" s="69"/>
      <c r="E5" s="69"/>
      <c r="F5" s="69"/>
    </row>
    <row r="6" spans="2:12" ht="18" customHeight="1" x14ac:dyDescent="0.25">
      <c r="C6" s="70"/>
      <c r="D6" s="70"/>
      <c r="E6" s="70"/>
      <c r="F6" s="70"/>
    </row>
    <row r="7" spans="2:12" ht="18" hidden="1" customHeight="1" x14ac:dyDescent="0.25">
      <c r="C7" s="56" t="s">
        <v>0</v>
      </c>
      <c r="D7" s="57"/>
      <c r="E7" s="57"/>
      <c r="F7" s="57"/>
      <c r="G7" s="57"/>
      <c r="H7" s="57"/>
      <c r="I7" s="58"/>
    </row>
    <row r="8" spans="2:12" s="4" customFormat="1" ht="12.75" hidden="1" customHeight="1" x14ac:dyDescent="0.25">
      <c r="C8" s="59" t="s">
        <v>2</v>
      </c>
      <c r="D8" s="60"/>
      <c r="E8" s="60"/>
      <c r="F8" s="60"/>
      <c r="G8" s="60"/>
      <c r="H8" s="60"/>
      <c r="I8" s="60"/>
      <c r="J8" s="1"/>
      <c r="K8" s="1"/>
      <c r="L8" s="1"/>
    </row>
    <row r="9" spans="2:12" hidden="1" x14ac:dyDescent="0.25">
      <c r="C9" s="5" t="s">
        <v>3</v>
      </c>
      <c r="D9" s="6"/>
      <c r="E9" s="6"/>
      <c r="F9" s="61">
        <v>1000000</v>
      </c>
      <c r="G9" s="62"/>
      <c r="H9" s="62"/>
      <c r="I9" s="63"/>
      <c r="J9" s="8"/>
    </row>
    <row r="10" spans="2:12" hidden="1" x14ac:dyDescent="0.25">
      <c r="C10" s="5" t="s">
        <v>6</v>
      </c>
      <c r="D10" s="6"/>
      <c r="E10" s="6"/>
      <c r="F10" s="71" t="s">
        <v>19</v>
      </c>
      <c r="G10" s="72"/>
      <c r="H10" s="72"/>
      <c r="I10" s="73"/>
      <c r="J10" s="8"/>
    </row>
    <row r="11" spans="2:12" hidden="1" x14ac:dyDescent="0.25">
      <c r="C11" s="5" t="s">
        <v>7</v>
      </c>
      <c r="D11" s="6"/>
      <c r="E11" s="6"/>
      <c r="F11" s="45">
        <f ca="1">TODAY()</f>
        <v>44939</v>
      </c>
      <c r="G11" s="46"/>
      <c r="H11" s="46"/>
      <c r="I11" s="47"/>
      <c r="J11" s="13"/>
    </row>
    <row r="12" spans="2:12" hidden="1" x14ac:dyDescent="0.25">
      <c r="C12" s="5" t="s">
        <v>8</v>
      </c>
      <c r="D12" s="6"/>
      <c r="E12" s="6"/>
      <c r="F12" s="48">
        <f>IF(C7="GOBIERNOS LOCALES", IF(F9&gt;1000000,5%,5.5%),IF(F9&gt;1000000,0.085,0.095))</f>
        <v>5.5E-2</v>
      </c>
      <c r="G12" s="49"/>
      <c r="H12" s="49"/>
      <c r="I12" s="50"/>
      <c r="J12" s="14"/>
    </row>
    <row r="13" spans="2:12" hidden="1" x14ac:dyDescent="0.25">
      <c r="C13" s="5" t="s">
        <v>9</v>
      </c>
      <c r="D13" s="6"/>
      <c r="E13" s="7"/>
      <c r="F13" s="51">
        <f ca="1">((F12+1)^(E17/360))-1</f>
        <v>-0.12345722730178155</v>
      </c>
      <c r="G13" s="52"/>
      <c r="H13" s="52"/>
      <c r="I13" s="53"/>
    </row>
    <row r="14" spans="2:12" hidden="1" x14ac:dyDescent="0.25">
      <c r="I14" s="15"/>
    </row>
    <row r="15" spans="2:12" hidden="1" x14ac:dyDescent="0.25">
      <c r="C15" s="29" t="s">
        <v>10</v>
      </c>
      <c r="D15" s="30" t="s">
        <v>11</v>
      </c>
      <c r="E15" s="30" t="s">
        <v>12</v>
      </c>
      <c r="F15" s="30" t="s">
        <v>13</v>
      </c>
      <c r="G15" s="30" t="s">
        <v>14</v>
      </c>
      <c r="H15" s="30" t="s">
        <v>15</v>
      </c>
      <c r="I15" s="31" t="s">
        <v>16</v>
      </c>
      <c r="J15" s="17"/>
    </row>
    <row r="16" spans="2:12" hidden="1" x14ac:dyDescent="0.25">
      <c r="B16" s="18">
        <v>0</v>
      </c>
      <c r="C16" s="32">
        <v>0</v>
      </c>
      <c r="D16" s="33">
        <f ca="1">+F11</f>
        <v>44939</v>
      </c>
      <c r="E16" s="33"/>
      <c r="F16" s="34">
        <v>0</v>
      </c>
      <c r="G16" s="34">
        <v>0</v>
      </c>
      <c r="H16" s="34">
        <v>0</v>
      </c>
      <c r="I16" s="35">
        <f>+F9</f>
        <v>1000000</v>
      </c>
    </row>
    <row r="17" spans="2:10" hidden="1" x14ac:dyDescent="0.25">
      <c r="B17" s="18">
        <v>1</v>
      </c>
      <c r="C17" s="32">
        <v>1</v>
      </c>
      <c r="D17" s="33">
        <v>44053</v>
      </c>
      <c r="E17" s="36">
        <f ca="1">D17-D16</f>
        <v>-886</v>
      </c>
      <c r="F17" s="35">
        <f>I16</f>
        <v>1000000</v>
      </c>
      <c r="G17" s="35">
        <f ca="1">ROUND(I16*F13,2)</f>
        <v>-123457.23</v>
      </c>
      <c r="H17" s="35">
        <f ca="1">ROUND(F17+G17,2)</f>
        <v>876542.77</v>
      </c>
      <c r="I17" s="35">
        <f>I16-F17</f>
        <v>0</v>
      </c>
      <c r="J17" s="24"/>
    </row>
    <row r="18" spans="2:10" hidden="1" x14ac:dyDescent="0.25">
      <c r="B18" s="18">
        <v>2</v>
      </c>
      <c r="C18" s="32"/>
      <c r="D18" s="33" t="s">
        <v>18</v>
      </c>
      <c r="E18" s="36"/>
      <c r="F18" s="35">
        <f>SUM(F17:F17)</f>
        <v>1000000</v>
      </c>
      <c r="G18" s="35">
        <f ca="1">SUM(G17:G17)</f>
        <v>-123457.23</v>
      </c>
      <c r="H18" s="35">
        <f ca="1">SUM(H17:H17)</f>
        <v>876542.77</v>
      </c>
      <c r="I18" s="35"/>
      <c r="J18" s="24"/>
    </row>
    <row r="19" spans="2:10" hidden="1" x14ac:dyDescent="0.25">
      <c r="B19" s="18"/>
    </row>
    <row r="20" spans="2:10" x14ac:dyDescent="0.25">
      <c r="B20" s="18"/>
    </row>
    <row r="21" spans="2:10" ht="15.5" x14ac:dyDescent="0.35">
      <c r="C21" s="38" t="s">
        <v>21</v>
      </c>
      <c r="D21" s="37"/>
      <c r="E21" s="37"/>
      <c r="F21" s="37"/>
      <c r="G21" s="37"/>
      <c r="H21" s="37"/>
    </row>
  </sheetData>
  <sheetProtection algorithmName="SHA-512" hashValue="+Rq2Z7zkwHeYHiexFNdx8nQq68ywmjeCoVRKhAHkWHJyzl4JTCAlII4b2FJILq0+9k3COnCWQ5QPlwzR1KqZng==" saltValue="m+ifvjoCkIQpIaKCIBDjiQ==" spinCount="100000" sheet="1" selectLockedCells="1"/>
  <mergeCells count="9">
    <mergeCell ref="F11:I11"/>
    <mergeCell ref="F12:I12"/>
    <mergeCell ref="F13:I13"/>
    <mergeCell ref="C5:F5"/>
    <mergeCell ref="C6:F6"/>
    <mergeCell ref="C7:I7"/>
    <mergeCell ref="C8:I8"/>
    <mergeCell ref="F9:I9"/>
    <mergeCell ref="F10:I10"/>
  </mergeCells>
  <conditionalFormatting sqref="J15 F9:F11">
    <cfRule type="cellIs" dxfId="5" priority="3" stopIfTrue="1" operator="notEqual">
      <formula>""</formula>
    </cfRule>
  </conditionalFormatting>
  <conditionalFormatting sqref="J17:J18">
    <cfRule type="cellIs" dxfId="4" priority="2" stopIfTrue="1" operator="notEqual">
      <formula>""</formula>
    </cfRule>
  </conditionalFormatting>
  <conditionalFormatting sqref="C16:I18">
    <cfRule type="cellIs" dxfId="3" priority="1" stopIfTrue="1" operator="notEqual">
      <formula>""</formula>
    </cfRule>
  </conditionalFormatting>
  <dataValidations disablePrompts="1" count="1">
    <dataValidation type="list" allowBlank="1" showInputMessage="1" showErrorMessage="1" errorTitle="PÑPÑ" error="ZXCB" sqref="C7:I7" xr:uid="{00000000-0002-0000-0600-000000000000}">
      <formula1>$K$3:$K$4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1"/>
  <sheetViews>
    <sheetView showGridLines="0" zoomScale="85" zoomScaleNormal="85" workbookViewId="0"/>
  </sheetViews>
  <sheetFormatPr baseColWidth="10" defaultColWidth="11.453125" defaultRowHeight="12.5" x14ac:dyDescent="0.25"/>
  <cols>
    <col min="1" max="1" width="11.453125" style="1"/>
    <col min="2" max="2" width="3.1796875" style="1" bestFit="1" customWidth="1"/>
    <col min="3" max="3" width="9.7265625" style="1" customWidth="1"/>
    <col min="4" max="4" width="14.453125" style="1" customWidth="1"/>
    <col min="5" max="5" width="4.7265625" style="1" bestFit="1" customWidth="1"/>
    <col min="6" max="9" width="18.7265625" style="1" customWidth="1"/>
    <col min="10" max="10" width="11.1796875" style="1" hidden="1" customWidth="1"/>
    <col min="11" max="11" width="25" style="1" hidden="1" customWidth="1"/>
    <col min="12" max="16384" width="11.453125" style="1"/>
  </cols>
  <sheetData>
    <row r="2" spans="2:12" x14ac:dyDescent="0.25">
      <c r="G2" s="2"/>
    </row>
    <row r="3" spans="2:12" ht="15.5" x14ac:dyDescent="0.35">
      <c r="C3" s="39" t="s">
        <v>20</v>
      </c>
      <c r="K3" s="1" t="s">
        <v>0</v>
      </c>
    </row>
    <row r="4" spans="2:12" x14ac:dyDescent="0.25">
      <c r="K4" s="1" t="s">
        <v>1</v>
      </c>
    </row>
    <row r="5" spans="2:12" ht="18" customHeight="1" x14ac:dyDescent="0.25">
      <c r="C5" s="69"/>
      <c r="D5" s="69"/>
      <c r="E5" s="69"/>
      <c r="F5" s="69"/>
    </row>
    <row r="6" spans="2:12" ht="18" customHeight="1" x14ac:dyDescent="0.25">
      <c r="C6" s="70"/>
      <c r="D6" s="70"/>
      <c r="E6" s="70"/>
      <c r="F6" s="70"/>
    </row>
    <row r="7" spans="2:12" ht="18" hidden="1" customHeight="1" x14ac:dyDescent="0.25">
      <c r="C7" s="56" t="s">
        <v>0</v>
      </c>
      <c r="D7" s="57"/>
      <c r="E7" s="57"/>
      <c r="F7" s="57"/>
      <c r="G7" s="57"/>
      <c r="H7" s="57"/>
      <c r="I7" s="58"/>
    </row>
    <row r="8" spans="2:12" s="4" customFormat="1" ht="12.75" hidden="1" customHeight="1" x14ac:dyDescent="0.25">
      <c r="C8" s="59" t="s">
        <v>2</v>
      </c>
      <c r="D8" s="60"/>
      <c r="E8" s="60"/>
      <c r="F8" s="60"/>
      <c r="G8" s="60"/>
      <c r="H8" s="60"/>
      <c r="I8" s="60"/>
      <c r="J8" s="1"/>
      <c r="K8" s="1"/>
      <c r="L8" s="1"/>
    </row>
    <row r="9" spans="2:12" hidden="1" x14ac:dyDescent="0.25">
      <c r="C9" s="5" t="s">
        <v>3</v>
      </c>
      <c r="D9" s="6"/>
      <c r="E9" s="6"/>
      <c r="F9" s="61">
        <v>1000000</v>
      </c>
      <c r="G9" s="62"/>
      <c r="H9" s="62"/>
      <c r="I9" s="63"/>
      <c r="J9" s="8"/>
    </row>
    <row r="10" spans="2:12" hidden="1" x14ac:dyDescent="0.25">
      <c r="C10" s="5" t="s">
        <v>6</v>
      </c>
      <c r="D10" s="6"/>
      <c r="E10" s="6"/>
      <c r="F10" s="71" t="s">
        <v>19</v>
      </c>
      <c r="G10" s="72"/>
      <c r="H10" s="72"/>
      <c r="I10" s="73"/>
      <c r="J10" s="8"/>
    </row>
    <row r="11" spans="2:12" hidden="1" x14ac:dyDescent="0.25">
      <c r="C11" s="5" t="s">
        <v>7</v>
      </c>
      <c r="D11" s="6"/>
      <c r="E11" s="6"/>
      <c r="F11" s="45">
        <f ca="1">TODAY()</f>
        <v>44939</v>
      </c>
      <c r="G11" s="46"/>
      <c r="H11" s="46"/>
      <c r="I11" s="47"/>
      <c r="J11" s="13"/>
    </row>
    <row r="12" spans="2:12" hidden="1" x14ac:dyDescent="0.25">
      <c r="C12" s="5" t="s">
        <v>8</v>
      </c>
      <c r="D12" s="6"/>
      <c r="E12" s="6"/>
      <c r="F12" s="48">
        <f>IF(C7="GOBIERNOS LOCALES", IF(F9&gt;1000000,5%,5.5%),IF(F9&gt;1000000,0.085,0.095))</f>
        <v>5.5E-2</v>
      </c>
      <c r="G12" s="49"/>
      <c r="H12" s="49"/>
      <c r="I12" s="50"/>
      <c r="J12" s="14"/>
    </row>
    <row r="13" spans="2:12" hidden="1" x14ac:dyDescent="0.25">
      <c r="C13" s="5" t="s">
        <v>9</v>
      </c>
      <c r="D13" s="6"/>
      <c r="E13" s="7"/>
      <c r="F13" s="51">
        <f ca="1">((F12+1)^(E17/360))-1</f>
        <v>-0.12345722730178155</v>
      </c>
      <c r="G13" s="52"/>
      <c r="H13" s="52"/>
      <c r="I13" s="53"/>
    </row>
    <row r="14" spans="2:12" hidden="1" x14ac:dyDescent="0.25">
      <c r="I14" s="15"/>
    </row>
    <row r="15" spans="2:12" hidden="1" x14ac:dyDescent="0.25">
      <c r="C15" s="29" t="s">
        <v>10</v>
      </c>
      <c r="D15" s="30" t="s">
        <v>11</v>
      </c>
      <c r="E15" s="30" t="s">
        <v>12</v>
      </c>
      <c r="F15" s="30" t="s">
        <v>13</v>
      </c>
      <c r="G15" s="30" t="s">
        <v>14</v>
      </c>
      <c r="H15" s="30" t="s">
        <v>15</v>
      </c>
      <c r="I15" s="31" t="s">
        <v>16</v>
      </c>
      <c r="J15" s="17"/>
    </row>
    <row r="16" spans="2:12" hidden="1" x14ac:dyDescent="0.25">
      <c r="B16" s="18">
        <v>0</v>
      </c>
      <c r="C16" s="32">
        <v>0</v>
      </c>
      <c r="D16" s="33">
        <f ca="1">+F11</f>
        <v>44939</v>
      </c>
      <c r="E16" s="33"/>
      <c r="F16" s="34">
        <v>0</v>
      </c>
      <c r="G16" s="34">
        <v>0</v>
      </c>
      <c r="H16" s="34">
        <v>0</v>
      </c>
      <c r="I16" s="35">
        <f>+F9</f>
        <v>1000000</v>
      </c>
    </row>
    <row r="17" spans="2:10" hidden="1" x14ac:dyDescent="0.25">
      <c r="B17" s="18">
        <v>1</v>
      </c>
      <c r="C17" s="32">
        <v>1</v>
      </c>
      <c r="D17" s="33">
        <v>44053</v>
      </c>
      <c r="E17" s="36">
        <f ca="1">D17-D16</f>
        <v>-886</v>
      </c>
      <c r="F17" s="35">
        <f>I16</f>
        <v>1000000</v>
      </c>
      <c r="G17" s="35">
        <f ca="1">ROUND(I16*F13,2)</f>
        <v>-123457.23</v>
      </c>
      <c r="H17" s="35">
        <f ca="1">ROUND(F17+G17,2)</f>
        <v>876542.77</v>
      </c>
      <c r="I17" s="35">
        <f>I16-F17</f>
        <v>0</v>
      </c>
      <c r="J17" s="24"/>
    </row>
    <row r="18" spans="2:10" hidden="1" x14ac:dyDescent="0.25">
      <c r="B18" s="18">
        <v>2</v>
      </c>
      <c r="C18" s="32"/>
      <c r="D18" s="33" t="s">
        <v>18</v>
      </c>
      <c r="E18" s="36"/>
      <c r="F18" s="35">
        <f>SUM(F17:F17)</f>
        <v>1000000</v>
      </c>
      <c r="G18" s="35">
        <f ca="1">SUM(G17:G17)</f>
        <v>-123457.23</v>
      </c>
      <c r="H18" s="35">
        <f ca="1">SUM(H17:H17)</f>
        <v>876542.77</v>
      </c>
      <c r="I18" s="35"/>
      <c r="J18" s="24"/>
    </row>
    <row r="19" spans="2:10" hidden="1" x14ac:dyDescent="0.25">
      <c r="B19" s="18"/>
    </row>
    <row r="20" spans="2:10" x14ac:dyDescent="0.25">
      <c r="B20" s="18"/>
    </row>
    <row r="21" spans="2:10" ht="15.5" x14ac:dyDescent="0.35">
      <c r="C21" s="38" t="s">
        <v>21</v>
      </c>
      <c r="D21" s="37"/>
      <c r="E21" s="37"/>
      <c r="F21" s="37"/>
      <c r="G21" s="37"/>
      <c r="H21" s="37"/>
    </row>
  </sheetData>
  <sheetProtection algorithmName="SHA-512" hashValue="+Rq2Z7zkwHeYHiexFNdx8nQq68ywmjeCoVRKhAHkWHJyzl4JTCAlII4b2FJILq0+9k3COnCWQ5QPlwzR1KqZng==" saltValue="m+ifvjoCkIQpIaKCIBDjiQ==" spinCount="100000" sheet="1" selectLockedCells="1"/>
  <mergeCells count="9">
    <mergeCell ref="F11:I11"/>
    <mergeCell ref="F12:I12"/>
    <mergeCell ref="F13:I13"/>
    <mergeCell ref="C5:F5"/>
    <mergeCell ref="C6:F6"/>
    <mergeCell ref="C7:I7"/>
    <mergeCell ref="C8:I8"/>
    <mergeCell ref="F9:I9"/>
    <mergeCell ref="F10:I10"/>
  </mergeCells>
  <conditionalFormatting sqref="J15 F9:F11">
    <cfRule type="cellIs" dxfId="2" priority="3" stopIfTrue="1" operator="notEqual">
      <formula>""</formula>
    </cfRule>
  </conditionalFormatting>
  <conditionalFormatting sqref="J17:J18">
    <cfRule type="cellIs" dxfId="1" priority="2" stopIfTrue="1" operator="notEqual">
      <formula>""</formula>
    </cfRule>
  </conditionalFormatting>
  <conditionalFormatting sqref="C16:I18">
    <cfRule type="cellIs" dxfId="0" priority="1" stopIfTrue="1" operator="notEqual">
      <formula>""</formula>
    </cfRule>
  </conditionalFormatting>
  <dataValidations count="1">
    <dataValidation type="list" allowBlank="1" showInputMessage="1" showErrorMessage="1" errorTitle="PÑPÑ" error="ZXCB" sqref="C7:I7" xr:uid="{00000000-0002-0000-0700-000000000000}">
      <formula1>$K$3:$K$4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FONCOMUN</vt:lpstr>
      <vt:lpstr>PETROLERO</vt:lpstr>
      <vt:lpstr>GASIFERO</vt:lpstr>
      <vt:lpstr>HIDROENERGETICO</vt:lpstr>
      <vt:lpstr>ADUANAS</vt:lpstr>
      <vt:lpstr>FOCAM</vt:lpstr>
      <vt:lpstr>MINERO</vt:lpstr>
      <vt:lpstr>REGALÍAS MINERAS</vt:lpstr>
      <vt:lpstr>ADUANAS!Área_de_impresión</vt:lpstr>
      <vt:lpstr>FOCAM!Área_de_impresión</vt:lpstr>
      <vt:lpstr>FONCOMUN!Área_de_impresión</vt:lpstr>
      <vt:lpstr>GASIFERO!Área_de_impresión</vt:lpstr>
      <vt:lpstr>HIDROENERGETICO!Área_de_impresión</vt:lpstr>
      <vt:lpstr>MINERO!Área_de_impresión</vt:lpstr>
      <vt:lpstr>PETROLERO!Área_de_impresión</vt:lpstr>
      <vt:lpstr>'REGALÍAS MINERAS'!Área_de_impresión</vt:lpstr>
    </vt:vector>
  </TitlesOfParts>
  <Company>Banco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AARON PERALES CANDIOTTI</dc:creator>
  <cp:lastModifiedBy>HECTOR ALBERTO PERALTA LOAYZA</cp:lastModifiedBy>
  <cp:lastPrinted>2023-01-13T19:50:27Z</cp:lastPrinted>
  <dcterms:created xsi:type="dcterms:W3CDTF">2017-08-31T18:39:25Z</dcterms:created>
  <dcterms:modified xsi:type="dcterms:W3CDTF">2023-01-13T19:54:34Z</dcterms:modified>
</cp:coreProperties>
</file>